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ctrlProps/ctrlProp26.xml" ContentType="application/vnd.ms-excel.controlproperties+xml"/>
  <Override PartName="/xl/ctrlProps/ctrlProp30.xml" ContentType="application/vnd.ms-excel.controlproperties+xml"/>
  <Override PartName="/xl/ctrlProps/ctrlProp28.xml" ContentType="application/vnd.ms-excel.controlproperties+xml"/>
  <Override PartName="/xl/ctrlProps/ctrlProp10.xml" ContentType="application/vnd.ms-excel.controlproperties+xml"/>
  <Override PartName="/xl/ctrlProps/ctrlProp27.xml" ContentType="application/vnd.ms-excel.controlproperties+xml"/>
  <Override PartName="/xl/ctrlProps/ctrlProp29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5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My Documents\ENG DOCUMENTS\EFCOG DC WG\"/>
    </mc:Choice>
  </mc:AlternateContent>
  <bookViews>
    <workbookView xWindow="0" yWindow="0" windowWidth="23040" windowHeight="11040" tabRatio="794"/>
  </bookViews>
  <sheets>
    <sheet name="Doan DC" sheetId="1" r:id="rId1"/>
    <sheet name="SO DC" sheetId="3" r:id="rId2"/>
    <sheet name="Cap 1" sheetId="4" r:id="rId3"/>
    <sheet name="Cap 2" sheetId="5" r:id="rId4"/>
    <sheet name="Ind 1" sheetId="9" r:id="rId5"/>
    <sheet name="Ind 2" sheetId="10" r:id="rId6"/>
    <sheet name="MSO PV" sheetId="11" r:id="rId7"/>
    <sheet name="Ref" sheetId="6" r:id="rId8"/>
  </sheets>
  <definedNames>
    <definedName name="_xlnm.Print_Area" localSheetId="2">'Cap 1'!$A$1:$I$46</definedName>
    <definedName name="_xlnm.Print_Area" localSheetId="0">'Doan DC'!$A$1:$I$45</definedName>
    <definedName name="_xlnm.Print_Area" localSheetId="1">'SO DC'!$A$1:$I$51</definedName>
  </definedNames>
  <calcPr calcId="162913"/>
</workbook>
</file>

<file path=xl/calcChain.xml><?xml version="1.0" encoding="utf-8"?>
<calcChain xmlns="http://schemas.openxmlformats.org/spreadsheetml/2006/main">
  <c r="B27" i="11" l="1"/>
  <c r="B26" i="11"/>
  <c r="B40" i="11" l="1"/>
  <c r="B28" i="11"/>
  <c r="B36" i="11" l="1"/>
  <c r="B37" i="11" s="1"/>
  <c r="D35" i="10" l="1"/>
  <c r="B35" i="10"/>
  <c r="D34" i="10"/>
  <c r="B34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D33" i="10"/>
  <c r="B33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B32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B31" i="10"/>
  <c r="B30" i="10"/>
  <c r="B29" i="10"/>
  <c r="B27" i="10"/>
  <c r="D34" i="9"/>
  <c r="B34" i="9"/>
  <c r="D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D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B30" i="9"/>
  <c r="B29" i="9"/>
  <c r="B28" i="9"/>
  <c r="B26" i="9"/>
  <c r="J43" i="5"/>
  <c r="E43" i="5"/>
  <c r="J42" i="5"/>
  <c r="E42" i="5"/>
  <c r="J41" i="5"/>
  <c r="E41" i="5"/>
  <c r="J40" i="5"/>
  <c r="E40" i="5"/>
  <c r="J39" i="5"/>
  <c r="E39" i="5"/>
  <c r="J38" i="5"/>
  <c r="E38" i="5"/>
  <c r="L36" i="5"/>
  <c r="K36" i="5"/>
  <c r="J36" i="5"/>
  <c r="G36" i="5"/>
  <c r="F36" i="5"/>
  <c r="E36" i="5"/>
  <c r="C36" i="5"/>
  <c r="K34" i="5"/>
  <c r="J34" i="5"/>
  <c r="F34" i="5"/>
  <c r="E34" i="5"/>
  <c r="C34" i="5"/>
  <c r="F23" i="5"/>
  <c r="F22" i="5"/>
  <c r="F21" i="5"/>
  <c r="F20" i="5"/>
  <c r="F17" i="5"/>
  <c r="F16" i="5"/>
  <c r="F15" i="5"/>
  <c r="E15" i="5"/>
  <c r="C15" i="5"/>
  <c r="E14" i="5"/>
  <c r="H13" i="5"/>
  <c r="G13" i="5"/>
  <c r="F13" i="5"/>
  <c r="E13" i="5"/>
  <c r="H12" i="5"/>
  <c r="G12" i="5"/>
  <c r="F12" i="5"/>
  <c r="E12" i="5"/>
  <c r="H11" i="5"/>
  <c r="G11" i="5"/>
  <c r="F11" i="5"/>
  <c r="E11" i="5"/>
  <c r="H10" i="5"/>
  <c r="G10" i="5"/>
  <c r="F10" i="5"/>
  <c r="E10" i="5"/>
  <c r="H9" i="5"/>
  <c r="G9" i="5"/>
  <c r="F9" i="5"/>
  <c r="E9" i="5"/>
  <c r="H8" i="5"/>
  <c r="G8" i="5"/>
  <c r="F8" i="5"/>
  <c r="E8" i="5"/>
  <c r="H7" i="5"/>
  <c r="G7" i="5"/>
  <c r="E7" i="5"/>
  <c r="D34" i="4"/>
  <c r="B34" i="4"/>
  <c r="D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D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B30" i="4"/>
  <c r="B29" i="4"/>
  <c r="B28" i="4"/>
  <c r="B26" i="4"/>
  <c r="B50" i="11"/>
  <c r="K51" i="11" s="1"/>
  <c r="B49" i="11"/>
  <c r="B46" i="11"/>
  <c r="B42" i="11"/>
  <c r="B43" i="11" s="1"/>
  <c r="B35" i="11"/>
  <c r="B32" i="11"/>
  <c r="B38" i="11" s="1"/>
  <c r="B25" i="11"/>
  <c r="D42" i="3"/>
  <c r="B42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B41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B40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B39" i="3"/>
  <c r="B38" i="3"/>
  <c r="B37" i="3"/>
  <c r="L34" i="3"/>
  <c r="K34" i="3"/>
  <c r="J34" i="3"/>
  <c r="B34" i="3"/>
  <c r="L33" i="3"/>
  <c r="K33" i="3"/>
  <c r="J33" i="3"/>
  <c r="L32" i="3"/>
  <c r="K32" i="3"/>
  <c r="J32" i="3"/>
  <c r="B32" i="3"/>
  <c r="L31" i="3"/>
  <c r="K31" i="3"/>
  <c r="J31" i="3"/>
  <c r="B31" i="3"/>
  <c r="L30" i="3"/>
  <c r="K30" i="3"/>
  <c r="J30" i="3"/>
  <c r="B30" i="3"/>
  <c r="L29" i="3"/>
  <c r="K29" i="3"/>
  <c r="J29" i="3"/>
  <c r="B29" i="3"/>
  <c r="L28" i="3"/>
  <c r="K28" i="3"/>
  <c r="J28" i="3"/>
  <c r="B28" i="3"/>
  <c r="L27" i="3"/>
  <c r="K27" i="3"/>
  <c r="J27" i="3"/>
  <c r="B27" i="3"/>
  <c r="L26" i="3"/>
  <c r="K26" i="3"/>
  <c r="J26" i="3"/>
  <c r="L25" i="3"/>
  <c r="K25" i="3"/>
  <c r="J25" i="3"/>
  <c r="L24" i="3"/>
  <c r="K24" i="3"/>
  <c r="J24" i="3"/>
  <c r="L23" i="3"/>
  <c r="K23" i="3"/>
  <c r="J23" i="3"/>
  <c r="B23" i="3"/>
  <c r="L22" i="3"/>
  <c r="K22" i="3"/>
  <c r="J22" i="3"/>
  <c r="B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B33" i="1"/>
  <c r="K34" i="1" s="1"/>
  <c r="B32" i="1"/>
  <c r="B28" i="1"/>
  <c r="B29" i="1" s="1"/>
  <c r="B35" i="1" l="1"/>
  <c r="K36" i="1" s="1"/>
  <c r="L34" i="1" s="1"/>
  <c r="K35" i="1"/>
  <c r="B41" i="11"/>
  <c r="L35" i="1" l="1"/>
  <c r="L36" i="1"/>
  <c r="M34" i="1" s="1"/>
  <c r="M35" i="1" s="1"/>
  <c r="B44" i="11"/>
  <c r="B52" i="11"/>
  <c r="M36" i="1" l="1"/>
  <c r="N34" i="1" s="1"/>
  <c r="N35" i="1" s="1"/>
  <c r="K52" i="11"/>
  <c r="K53" i="11"/>
  <c r="L51" i="11" s="1"/>
  <c r="N36" i="1" l="1"/>
  <c r="O34" i="1" s="1"/>
  <c r="O35" i="1" s="1"/>
  <c r="L52" i="11"/>
  <c r="L53" i="11" s="1"/>
  <c r="M51" i="11" s="1"/>
  <c r="M52" i="11" s="1"/>
  <c r="O36" i="1" l="1"/>
  <c r="P34" i="1" s="1"/>
  <c r="P35" i="1" s="1"/>
  <c r="M53" i="11"/>
  <c r="N51" i="11" s="1"/>
  <c r="N52" i="11" s="1"/>
  <c r="P36" i="1" l="1"/>
  <c r="Q34" i="1" s="1"/>
  <c r="Q35" i="1"/>
  <c r="N53" i="11"/>
  <c r="O51" i="11" s="1"/>
  <c r="O52" i="11" s="1"/>
  <c r="Q36" i="1" l="1"/>
  <c r="R34" i="1" s="1"/>
  <c r="R35" i="1" s="1"/>
  <c r="O53" i="11"/>
  <c r="P51" i="11" s="1"/>
  <c r="P52" i="11" s="1"/>
  <c r="R36" i="1" l="1"/>
  <c r="S34" i="1" s="1"/>
  <c r="S35" i="1" s="1"/>
  <c r="P53" i="11"/>
  <c r="Q51" i="11" s="1"/>
  <c r="Q52" i="11" s="1"/>
  <c r="S36" i="1" l="1"/>
  <c r="T34" i="1" s="1"/>
  <c r="T35" i="1"/>
  <c r="Q53" i="11"/>
  <c r="R51" i="11" s="1"/>
  <c r="R52" i="11" s="1"/>
  <c r="T36" i="1" l="1"/>
  <c r="U34" i="1" s="1"/>
  <c r="U35" i="1" s="1"/>
  <c r="R53" i="11"/>
  <c r="S51" i="11" s="1"/>
  <c r="S52" i="11" s="1"/>
  <c r="U36" i="1" l="1"/>
  <c r="V34" i="1" s="1"/>
  <c r="V35" i="1" s="1"/>
  <c r="S53" i="11"/>
  <c r="T51" i="11" s="1"/>
  <c r="T52" i="11" s="1"/>
  <c r="V36" i="1" l="1"/>
  <c r="W34" i="1" s="1"/>
  <c r="W35" i="1" s="1"/>
  <c r="T53" i="11"/>
  <c r="U51" i="11" s="1"/>
  <c r="U52" i="11" s="1"/>
  <c r="W36" i="1" l="1"/>
  <c r="X34" i="1" s="1"/>
  <c r="X35" i="1" s="1"/>
  <c r="U53" i="11"/>
  <c r="V51" i="11" s="1"/>
  <c r="V52" i="11" s="1"/>
  <c r="X36" i="1" l="1"/>
  <c r="Y34" i="1" s="1"/>
  <c r="Y35" i="1" s="1"/>
  <c r="V53" i="11"/>
  <c r="W51" i="11" s="1"/>
  <c r="W52" i="11" s="1"/>
  <c r="Y36" i="1" l="1"/>
  <c r="Z34" i="1" s="1"/>
  <c r="Z35" i="1" s="1"/>
  <c r="W53" i="11"/>
  <c r="X51" i="11" s="1"/>
  <c r="X52" i="11" s="1"/>
  <c r="Z36" i="1" l="1"/>
  <c r="AA34" i="1" s="1"/>
  <c r="AA35" i="1" s="1"/>
  <c r="X53" i="11"/>
  <c r="Y51" i="11" s="1"/>
  <c r="Y52" i="11" s="1"/>
  <c r="AA36" i="1" l="1"/>
  <c r="AB34" i="1" s="1"/>
  <c r="AB35" i="1" s="1"/>
  <c r="Y53" i="11"/>
  <c r="Z51" i="11" s="1"/>
  <c r="Z52" i="11" s="1"/>
  <c r="AB36" i="1" l="1"/>
  <c r="AC34" i="1" s="1"/>
  <c r="AC35" i="1" s="1"/>
  <c r="Z53" i="11"/>
  <c r="AA51" i="11" s="1"/>
  <c r="AA52" i="11" s="1"/>
  <c r="AC36" i="1" l="1"/>
  <c r="AD34" i="1" s="1"/>
  <c r="AD35" i="1" s="1"/>
  <c r="AA53" i="11"/>
  <c r="AB51" i="11" s="1"/>
  <c r="AB52" i="11" s="1"/>
  <c r="AD36" i="1" l="1"/>
  <c r="AE34" i="1" s="1"/>
  <c r="B34" i="1" s="1"/>
  <c r="AE35" i="1"/>
  <c r="AE36" i="1" s="1"/>
  <c r="B36" i="1" s="1"/>
  <c r="D36" i="1" s="1"/>
  <c r="AB53" i="11"/>
  <c r="AC51" i="11" s="1"/>
  <c r="AC52" i="11" s="1"/>
  <c r="AC53" i="11" l="1"/>
  <c r="AD51" i="11" s="1"/>
  <c r="AD52" i="11" s="1"/>
  <c r="AD53" i="11" l="1"/>
  <c r="AE51" i="11" s="1"/>
  <c r="B51" i="11" s="1"/>
  <c r="AE52" i="11" l="1"/>
  <c r="AE53" i="11" s="1"/>
  <c r="B53" i="11" s="1"/>
  <c r="D53" i="11" s="1"/>
</calcChain>
</file>

<file path=xl/sharedStrings.xml><?xml version="1.0" encoding="utf-8"?>
<sst xmlns="http://schemas.openxmlformats.org/spreadsheetml/2006/main" count="591" uniqueCount="301">
  <si>
    <t>Arc Flash Energy - DC Bus - Max Energy Point - Linear Systems</t>
  </si>
  <si>
    <t>Enter data in blue cells - Read answers in orange cells</t>
  </si>
  <si>
    <t>This is a physics estimate only.  It is not based on experimental data but has been verified</t>
  </si>
  <si>
    <t xml:space="preserve">to be a conservative calculation of incident energy.  Please note that this will show the </t>
  </si>
  <si>
    <t xml:space="preserve">maximum incident energy possible based on the inputs.  This method also uses the </t>
  </si>
  <si>
    <t xml:space="preserve">conservative rounding of coefficients used by Doan [1] and NFPA 70E-2015 Section </t>
  </si>
  <si>
    <t>D.5.1 [2].  Closed box approximations based on NFPA 70E-2015 Section D.5.1 or the calculated</t>
  </si>
  <si>
    <t>closed box approximation from Wilkins, et. al. [3] as described by Ammerman, et. al. [4] are</t>
  </si>
  <si>
    <t>available using the radio buttons.</t>
  </si>
  <si>
    <t xml:space="preserve">Caution:  These equations are based on maximum power point for a linear system and </t>
  </si>
  <si>
    <t>will not represent non-linear systems accurately such as Photovoltaic systems or Voltage</t>
  </si>
  <si>
    <t>Regulated systems such as battery chargers, UPS rectifiers or VFD buses under load.</t>
  </si>
  <si>
    <t xml:space="preserve">Higher incident energy values may occur if clearing time increases due to the time current </t>
  </si>
  <si>
    <t>curve (TCC) characteristics of any protective devices.</t>
  </si>
  <si>
    <r>
      <rPr>
        <sz val="11"/>
        <rFont val="Calibri"/>
        <family val="2"/>
      </rPr>
      <t>V</t>
    </r>
    <r>
      <rPr>
        <sz val="8"/>
        <rFont val="Calibri"/>
        <family val="2"/>
      </rPr>
      <t>sys</t>
    </r>
  </si>
  <si>
    <t>V</t>
  </si>
  <si>
    <t>[system open circuit voltage]</t>
  </si>
  <si>
    <r>
      <rPr>
        <sz val="11"/>
        <rFont val="Calibri"/>
        <family val="2"/>
      </rPr>
      <t>I</t>
    </r>
    <r>
      <rPr>
        <sz val="8"/>
        <rFont val="Calibri"/>
        <family val="2"/>
      </rPr>
      <t>bf</t>
    </r>
  </si>
  <si>
    <t>A</t>
  </si>
  <si>
    <t>[bolted fault short circuit current]</t>
  </si>
  <si>
    <r>
      <rPr>
        <sz val="11"/>
        <color theme="1"/>
        <rFont val="Calibri"/>
        <family val="2"/>
      </rPr>
      <t>I</t>
    </r>
    <r>
      <rPr>
        <sz val="8"/>
        <color theme="1"/>
        <rFont val="Calibri"/>
        <family val="2"/>
      </rPr>
      <t>arc</t>
    </r>
  </si>
  <si>
    <t>[arcing current for maximum power point]</t>
  </si>
  <si>
    <r>
      <rPr>
        <sz val="11"/>
        <color theme="1"/>
        <rFont val="Calibri"/>
        <family val="2"/>
      </rPr>
      <t>T</t>
    </r>
    <r>
      <rPr>
        <sz val="8"/>
        <color theme="1"/>
        <rFont val="Calibri"/>
        <family val="2"/>
      </rPr>
      <t>arc</t>
    </r>
  </si>
  <si>
    <t>s</t>
  </si>
  <si>
    <t>[arc clearing time]</t>
  </si>
  <si>
    <t>D</t>
  </si>
  <si>
    <t>cm</t>
  </si>
  <si>
    <t>[working distance]</t>
  </si>
  <si>
    <t>in</t>
  </si>
  <si>
    <r>
      <rPr>
        <sz val="11"/>
        <color theme="1"/>
        <rFont val="Calibri"/>
        <family val="2"/>
      </rPr>
      <t>CF</t>
    </r>
    <r>
      <rPr>
        <sz val="8"/>
        <color theme="1"/>
        <rFont val="Calibri"/>
        <family val="2"/>
      </rPr>
      <t>WD</t>
    </r>
  </si>
  <si>
    <t>[configuration factor at working distance]</t>
  </si>
  <si>
    <r>
      <rPr>
        <sz val="11"/>
        <color theme="1"/>
        <rFont val="Calibri"/>
        <family val="2"/>
      </rPr>
      <t>CF</t>
    </r>
    <r>
      <rPr>
        <sz val="8"/>
        <color theme="1"/>
        <rFont val="Calibri"/>
        <family val="2"/>
      </rPr>
      <t>AFB</t>
    </r>
  </si>
  <si>
    <t>[configuration factor at arc flash boundary]</t>
  </si>
  <si>
    <r>
      <rPr>
        <sz val="11"/>
        <color theme="1"/>
        <rFont val="Calibri"/>
        <family val="2"/>
      </rPr>
      <t>IE</t>
    </r>
    <r>
      <rPr>
        <sz val="8"/>
        <color theme="1"/>
        <rFont val="Calibri"/>
        <family val="2"/>
      </rPr>
      <t>m</t>
    </r>
  </si>
  <si>
    <r>
      <rPr>
        <sz val="11"/>
        <color theme="1"/>
        <rFont val="Calibri"/>
        <family val="2"/>
      </rPr>
      <t>cal/cm</t>
    </r>
    <r>
      <rPr>
        <vertAlign val="superscript"/>
        <sz val="11"/>
        <color theme="1"/>
        <rFont val="Calibri"/>
        <family val="2"/>
      </rPr>
      <t>2</t>
    </r>
  </si>
  <si>
    <t>AFB</t>
  </si>
  <si>
    <t>References</t>
  </si>
  <si>
    <r>
      <rPr>
        <sz val="11"/>
        <color theme="1"/>
        <rFont val="Calibri"/>
        <family val="2"/>
      </rPr>
      <t xml:space="preserve">[1]  NFPA 70E, </t>
    </r>
    <r>
      <rPr>
        <i/>
        <sz val="11"/>
        <color theme="1"/>
        <rFont val="Calibri"/>
        <family val="2"/>
      </rPr>
      <t>Standard for Electrical Safety in the Workplace,</t>
    </r>
    <r>
      <rPr>
        <sz val="11"/>
        <color theme="1"/>
        <rFont val="Calibri"/>
        <family val="2"/>
      </rPr>
      <t>2015</t>
    </r>
  </si>
  <si>
    <t>[2]  "Arc Flash Calculations for Exposures to DC Systems," Doan, D.R.,</t>
  </si>
  <si>
    <r>
      <rPr>
        <sz val="11"/>
        <color theme="1"/>
        <rFont val="Calibri"/>
        <family val="2"/>
      </rPr>
      <t xml:space="preserve">        </t>
    </r>
    <r>
      <rPr>
        <i/>
        <sz val="11"/>
        <color theme="1"/>
        <rFont val="Calibri"/>
        <family val="2"/>
      </rPr>
      <t>IEEE Transactions on Industrial Applications,</t>
    </r>
    <r>
      <rPr>
        <sz val="11"/>
        <color theme="1"/>
        <rFont val="Calibri"/>
        <family val="2"/>
      </rPr>
      <t xml:space="preserve"> Vol. 46, No. 6.</t>
    </r>
  </si>
  <si>
    <t>[3]  "Simple Improved Equations for Arc Flash Analysis," Wilkins, R.,</t>
  </si>
  <si>
    <r>
      <rPr>
        <sz val="11"/>
        <color theme="1"/>
        <rFont val="Calibri"/>
        <family val="2"/>
      </rPr>
      <t xml:space="preserve">        </t>
    </r>
    <r>
      <rPr>
        <i/>
        <sz val="11"/>
        <color theme="1"/>
        <rFont val="Calibri"/>
        <family val="2"/>
      </rPr>
      <t>IEEE Electrical Safety Forum,</t>
    </r>
    <r>
      <rPr>
        <sz val="11"/>
        <color theme="1"/>
        <rFont val="Calibri"/>
        <family val="2"/>
      </rPr>
      <t xml:space="preserve"> posted August 30, 2004.</t>
    </r>
  </si>
  <si>
    <t>[4]  "DC-Arc Models and Incident-Energy Calculations," Ammerman, R.F.; et al.;</t>
  </si>
  <si>
    <r>
      <rPr>
        <sz val="11"/>
        <color theme="1"/>
        <rFont val="Calibri"/>
        <family val="2"/>
      </rPr>
      <t xml:space="preserve">        </t>
    </r>
    <r>
      <rPr>
        <i/>
        <sz val="11"/>
        <color theme="1"/>
        <rFont val="Calibri"/>
        <family val="2"/>
      </rPr>
      <t>IEEE Transactions on Industrial Applications,</t>
    </r>
    <r>
      <rPr>
        <sz val="11"/>
        <color theme="1"/>
        <rFont val="Calibri"/>
        <family val="2"/>
      </rPr>
      <t xml:space="preserve"> Vol. 46, No. 5.</t>
    </r>
  </si>
  <si>
    <r>
      <rPr>
        <sz val="11"/>
        <rFont val="Calibri"/>
        <family val="2"/>
      </rPr>
      <t>V</t>
    </r>
    <r>
      <rPr>
        <sz val="8"/>
        <rFont val="Calibri"/>
        <family val="2"/>
      </rPr>
      <t>arc</t>
    </r>
  </si>
  <si>
    <t>VF</t>
  </si>
  <si>
    <r>
      <rPr>
        <sz val="11"/>
        <rFont val="Calibri"/>
        <family val="2"/>
      </rPr>
      <t>I</t>
    </r>
    <r>
      <rPr>
        <sz val="8"/>
        <rFont val="Calibri"/>
        <family val="2"/>
      </rPr>
      <t>arc</t>
    </r>
  </si>
  <si>
    <t>IF</t>
  </si>
  <si>
    <t>[current factor - ratio of arcing to system current]</t>
  </si>
  <si>
    <t>/°C</t>
  </si>
  <si>
    <t>°C</t>
  </si>
  <si>
    <t>TF</t>
  </si>
  <si>
    <t>[5]  "DC-Arc Flash Calculations for Solar Farms," Enrique, E.H.; et al.;</t>
  </si>
  <si>
    <r>
      <rPr>
        <sz val="11"/>
        <color theme="1"/>
        <rFont val="Calibri"/>
        <family val="2"/>
      </rPr>
      <t xml:space="preserve">        </t>
    </r>
    <r>
      <rPr>
        <i/>
        <sz val="11"/>
        <color theme="1"/>
        <rFont val="Calibri"/>
        <family val="2"/>
      </rPr>
      <t>2013 IEEE Conference on Technologies for Sustainability.</t>
    </r>
  </si>
  <si>
    <t>Arc Flash Energy - DC Bus - Stokes &amp; Oppenlander - Linear Systems</t>
  </si>
  <si>
    <t xml:space="preserve">This is an improved estimate.  This will include an estimate of the effects of Gap on the </t>
  </si>
  <si>
    <t>incident energy of the Stokes &amp; Oppenlander equation as described by Ammerman, et. al. [4].</t>
  </si>
  <si>
    <t>This method also uses the conservative rounding of coefficients used by Doan [1].</t>
  </si>
  <si>
    <t>Closed box approximations based on NFPA 70E-2015 Section D.5.1 or the calculated</t>
  </si>
  <si>
    <t>Stokes &amp; Oppenlander Recursion</t>
  </si>
  <si>
    <t xml:space="preserve">Caution: These equations are based on a manually entered estimate of gap and may </t>
  </si>
  <si>
    <r>
      <rPr>
        <sz val="11"/>
        <rFont val="Calibri"/>
        <family val="2"/>
      </rPr>
      <t>R</t>
    </r>
    <r>
      <rPr>
        <sz val="8"/>
        <rFont val="Calibri"/>
        <family val="2"/>
      </rPr>
      <t>arc</t>
    </r>
  </si>
  <si>
    <t xml:space="preserve">represent only linear systems accurately.  Higher incident energy values may occur if clearing </t>
  </si>
  <si>
    <t>time increases due to the time current curve (TCC) characteristics of any protective devices.</t>
  </si>
  <si>
    <t>[arcing voltage estimated from Stokes &amp; Oppenlander]</t>
  </si>
  <si>
    <t>[arcing current estimated from Stokes &amp; Oppenlander]</t>
  </si>
  <si>
    <r>
      <rPr>
        <sz val="11"/>
        <rFont val="Calibri"/>
        <family val="2"/>
      </rPr>
      <t>R</t>
    </r>
    <r>
      <rPr>
        <sz val="8"/>
        <rFont val="Calibri"/>
        <family val="2"/>
      </rPr>
      <t>sys</t>
    </r>
  </si>
  <si>
    <t>W</t>
  </si>
  <si>
    <t>[System resistance - bolted fault V/I]</t>
  </si>
  <si>
    <t>G</t>
  </si>
  <si>
    <t>mm</t>
  </si>
  <si>
    <t>[Arc Gap in mm]</t>
  </si>
  <si>
    <r>
      <rPr>
        <sz val="11"/>
        <color theme="1"/>
        <rFont val="Calibri"/>
        <family val="2"/>
      </rPr>
      <t>N</t>
    </r>
    <r>
      <rPr>
        <sz val="8"/>
        <color theme="1"/>
        <rFont val="Calibri"/>
        <family val="2"/>
      </rPr>
      <t>arc</t>
    </r>
  </si>
  <si>
    <t>[Arc Efficiency - Percent of Maximum Available Energy]</t>
  </si>
  <si>
    <t>Arc Flash Energy - Capacitor - Stored Energy</t>
  </si>
  <si>
    <t xml:space="preserve">Also included for capacitor calculation is an estimated damage radius for ear or lung damage </t>
  </si>
  <si>
    <t>at the 1% susceptability threshold.  Calculation is based on the Army Research Lab (ARL)</t>
  </si>
  <si>
    <t xml:space="preserve">estimate from blast modeling of equivalent energy using Air_Blast_Lethality code as described </t>
  </si>
  <si>
    <t>in reference [5].  1% ear damage corresponds to 3 psi overpressure or 180dB SPL. 1% lung</t>
  </si>
  <si>
    <t>damage corresponds to 10 psi overpressure.</t>
  </si>
  <si>
    <t>C</t>
  </si>
  <si>
    <t>uF</t>
  </si>
  <si>
    <t>[capacitance in microfarads]</t>
  </si>
  <si>
    <t>E</t>
  </si>
  <si>
    <t>kJ</t>
  </si>
  <si>
    <t>[stored energy in kilojoules]</t>
  </si>
  <si>
    <t>Lung 1%</t>
  </si>
  <si>
    <t>Ear 1%</t>
  </si>
  <si>
    <t>[5] "Safe Distances From a High-Energy Capacitor Bank for Ear and Lung Protection"</t>
  </si>
  <si>
    <t xml:space="preserve">       Hummer, Charles R.; et al.; Army Research Laboratory ARL-TN-608, June 2014.</t>
  </si>
  <si>
    <t>Arc Flash Protection Boundary is the onset of a second degree burn at a flux of  (1.2 cal/cm^2 --- 5 J/cm^2)</t>
  </si>
  <si>
    <t>This approach follows the method from the DOE Electrical Safety Workshop July 16-20 2007. It uses a 3x factor (to accommodate the focusing of energy due to a deep enclosure) of the 3d symmetrically propagated energy solved for a 2nd degree burn energy density of 5J/cm^2:  Dc = sqrt(0.05 x E)</t>
  </si>
  <si>
    <t>Dc [in]</t>
  </si>
  <si>
    <t>E [J]</t>
  </si>
  <si>
    <t>Dc [ft]</t>
  </si>
  <si>
    <t>D53</t>
  </si>
  <si>
    <t>no IF</t>
  </si>
  <si>
    <t>no SQRT</t>
  </si>
  <si>
    <t>metric</t>
  </si>
  <si>
    <r>
      <rPr>
        <sz val="10"/>
        <rFont val="Arial"/>
        <family val="2"/>
      </rPr>
      <t>If the Flash Protection Boundary (Dc) calculated by this method results in a distance that is greater than the distance at which the worker must approach the energy storage element, scale the distance using the Step 2 table below to find the energy density exposure for the worker at the working distance. 
(</t>
    </r>
    <r>
      <rPr>
        <b/>
        <sz val="10"/>
        <rFont val="Arial"/>
        <family val="2"/>
      </rPr>
      <t>Step 2</t>
    </r>
    <r>
      <rPr>
        <sz val="10"/>
        <rFont val="Arial"/>
        <family val="2"/>
      </rPr>
      <t>) Enter the distance from the worker's body to the hazard into the light green cell (</t>
    </r>
    <r>
      <rPr>
        <b/>
        <sz val="10"/>
        <rFont val="Arial"/>
        <family val="2"/>
      </rPr>
      <t>Working Distance Dw [in]</t>
    </r>
    <r>
      <rPr>
        <sz val="10"/>
        <rFont val="Arial"/>
        <family val="2"/>
      </rPr>
      <t>). Appendix E data is duplicated in the formula to determine the Risk Category as a function of Energy Density (ATPV). The table also shows the clothing label information that is appropriate for the required ATPV.</t>
    </r>
  </si>
  <si>
    <t>Arc-in-a-Box</t>
  </si>
  <si>
    <t>no-Arc-in-a-Box</t>
  </si>
  <si>
    <t>Step 1</t>
  </si>
  <si>
    <t>Working Distance
Dw [in]</t>
  </si>
  <si>
    <t>ATPV [cal/cm^2]</t>
  </si>
  <si>
    <t>Risk Category</t>
  </si>
  <si>
    <t>Clothing Label [cal/cm^2]</t>
  </si>
  <si>
    <t>Step 2</t>
  </si>
  <si>
    <t>Working Distance
Dw min [in]</t>
  </si>
  <si>
    <t>&gt; 40</t>
  </si>
  <si>
    <t>No Hot Work</t>
  </si>
  <si>
    <t>Equations used in calculations for reference:</t>
  </si>
  <si>
    <t>D.5.1</t>
  </si>
  <si>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0.5 x I</t>
    </r>
    <r>
      <rPr>
        <vertAlign val="subscript"/>
        <sz val="11"/>
        <color theme="1"/>
        <rFont val="Calibri"/>
        <family val="2"/>
      </rPr>
      <t>bf</t>
    </r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</si>
  <si>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= 0.01 x V</t>
    </r>
    <r>
      <rPr>
        <vertAlign val="subscript"/>
        <sz val="11"/>
        <color theme="1"/>
        <rFont val="Calibri"/>
        <family val="2"/>
      </rPr>
      <t>sys</t>
    </r>
    <r>
      <rPr>
        <sz val="11"/>
        <color theme="1"/>
        <rFont val="Calibri"/>
        <family val="2"/>
      </rPr>
      <t xml:space="preserve"> x I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x T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/ D</t>
    </r>
    <r>
      <rPr>
        <vertAlign val="super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</si>
  <si>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arcing current (A)</t>
    </r>
  </si>
  <si>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bf</t>
    </r>
    <r>
      <rPr>
        <sz val="11"/>
        <color theme="1"/>
        <rFont val="Calibri"/>
        <family val="2"/>
      </rPr>
      <t xml:space="preserve"> = system bolted fault current (A)</t>
    </r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</si>
  <si>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= estimated dc arc flash incident energy (cal/cm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</si>
  <si>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sys</t>
    </r>
    <r>
      <rPr>
        <sz val="11"/>
        <color theme="1"/>
        <rFont val="Calibri"/>
        <family val="2"/>
      </rPr>
      <t xml:space="preserve"> = system voltage (V)</t>
    </r>
  </si>
  <si>
    <r>
      <rPr>
        <sz val="11"/>
        <color theme="1"/>
        <rFont val="Calibri"/>
        <family val="2"/>
      </rPr>
      <t>T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arcing time (s)</t>
    </r>
  </si>
  <si>
    <t>D = working distance (cm)</t>
  </si>
  <si>
    <r>
      <rPr>
        <sz val="11"/>
        <color theme="1"/>
        <rFont val="Calibri"/>
        <family val="2"/>
      </rPr>
      <t>For arc in a box, multiply IE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by 3</t>
    </r>
  </si>
  <si>
    <t>(7)</t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</si>
  <si>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max power</t>
    </r>
    <r>
      <rPr>
        <sz val="11"/>
        <color theme="1"/>
        <rFont val="Calibri"/>
        <family val="2"/>
      </rPr>
      <t xml:space="preserve"> = 0.005 x (V</t>
    </r>
    <r>
      <rPr>
        <vertAlign val="subscript"/>
        <sz val="11"/>
        <color theme="1"/>
        <rFont val="Calibri"/>
        <family val="2"/>
      </rPr>
      <t>sys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/ R</t>
    </r>
    <r>
      <rPr>
        <vertAlign val="subscript"/>
        <sz val="11"/>
        <color theme="1"/>
        <rFont val="Calibri"/>
        <family val="2"/>
      </rPr>
      <t>sys</t>
    </r>
    <r>
      <rPr>
        <sz val="11"/>
        <color theme="1"/>
        <rFont val="Calibri"/>
        <family val="2"/>
      </rPr>
      <t>) x T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/ D</t>
    </r>
    <r>
      <rPr>
        <vertAlign val="super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</si>
  <si>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max power</t>
    </r>
    <r>
      <rPr>
        <sz val="11"/>
        <color theme="1"/>
        <rFont val="Calibri"/>
        <family val="2"/>
      </rPr>
      <t xml:space="preserve"> = estimated dc arc flash incident energy (cal/cm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</si>
  <si>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R</t>
    </r>
    <r>
      <rPr>
        <vertAlign val="subscript"/>
        <sz val="11"/>
        <color theme="1"/>
        <rFont val="Calibri"/>
        <family val="2"/>
      </rPr>
      <t>sys</t>
    </r>
    <r>
      <rPr>
        <sz val="11"/>
        <color theme="1"/>
        <rFont val="Calibri"/>
        <family val="2"/>
      </rPr>
      <t xml:space="preserve"> = system resistance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</si>
  <si>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= k * E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/ (a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+ d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</si>
  <si>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= incident energy adjusted for enclosure effects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</si>
  <si>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open air incident energy</t>
    </r>
  </si>
  <si>
    <t>d = working distance (mm)</t>
  </si>
  <si>
    <t>a &amp; k values per the following table:</t>
  </si>
  <si>
    <t>Enclosure</t>
  </si>
  <si>
    <t>Width (mm)</t>
  </si>
  <si>
    <t>Height (mm)</t>
  </si>
  <si>
    <t>Depth (mm)</t>
  </si>
  <si>
    <t>a (mm)</t>
  </si>
  <si>
    <t>k</t>
  </si>
  <si>
    <t>Panelboard</t>
  </si>
  <si>
    <t>LV Switchgear</t>
  </si>
  <si>
    <t>HV Switchgear</t>
  </si>
  <si>
    <t>Stokes &amp; Oppenlander</t>
  </si>
  <si>
    <t>(8)</t>
  </si>
  <si>
    <r>
      <rPr>
        <sz val="11"/>
        <color theme="1"/>
        <rFont val="Calibri"/>
        <family val="2"/>
      </rPr>
      <t>R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(20 + 0.534 * z</t>
    </r>
    <r>
      <rPr>
        <vertAlign val="subscript"/>
        <sz val="11"/>
        <color theme="1"/>
        <rFont val="Calibri"/>
        <family val="2"/>
      </rPr>
      <t>g</t>
    </r>
    <r>
      <rPr>
        <sz val="11"/>
        <color theme="1"/>
        <rFont val="Calibri"/>
        <family val="2"/>
      </rPr>
      <t>) / I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</t>
    </r>
    <r>
      <rPr>
        <vertAlign val="superscript"/>
        <sz val="11"/>
        <color theme="1"/>
        <rFont val="Calibri"/>
        <family val="2"/>
      </rPr>
      <t>0.88</t>
    </r>
  </si>
  <si>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 xml:space="preserve"> = 10 + 0.2 * z</t>
    </r>
    <r>
      <rPr>
        <vertAlign val="subscript"/>
        <sz val="11"/>
        <color theme="1"/>
        <rFont val="Calibri"/>
        <family val="2"/>
      </rPr>
      <t>g</t>
    </r>
  </si>
  <si>
    <r>
      <rPr>
        <sz val="11"/>
        <color theme="1"/>
        <rFont val="Calibri"/>
        <family val="2"/>
      </rPr>
      <t>R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arc resistance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</si>
  <si>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z</t>
    </r>
    <r>
      <rPr>
        <vertAlign val="subscript"/>
        <sz val="11"/>
        <color theme="1"/>
        <rFont val="Calibri"/>
        <family val="2"/>
      </rPr>
      <t>g</t>
    </r>
    <r>
      <rPr>
        <sz val="11"/>
        <color theme="1"/>
        <rFont val="Calibri"/>
        <family val="2"/>
      </rPr>
      <t xml:space="preserve"> = length of gap (mm)</t>
    </r>
  </si>
  <si>
    <r>
      <rPr>
        <sz val="11"/>
        <color theme="1"/>
        <rFont val="Calibri"/>
        <family val="2"/>
      </rPr>
      <t>I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 xml:space="preserve"> = transition current (A) = minimum current where equation holds</t>
    </r>
  </si>
  <si>
    <t>[13]</t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</si>
  <si>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= 0.02 x V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x I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x T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/ D</t>
    </r>
    <r>
      <rPr>
        <vertAlign val="superscript"/>
        <sz val="11"/>
        <color theme="1"/>
        <rFont val="Calibri"/>
        <family val="2"/>
      </rPr>
      <t>2</t>
    </r>
  </si>
  <si>
    <t>[14]</t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</si>
  <si>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 comp</t>
    </r>
    <r>
      <rPr>
        <sz val="11"/>
        <color theme="1"/>
        <rFont val="Calibri"/>
        <family val="2"/>
      </rPr>
      <t xml:space="preserve"> = IE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* (1-K</t>
    </r>
    <r>
      <rPr>
        <vertAlign val="subscript"/>
        <sz val="11"/>
        <color theme="1"/>
        <rFont val="Calibri"/>
        <family val="2"/>
      </rPr>
      <t>T Pmax</t>
    </r>
    <r>
      <rPr>
        <sz val="11"/>
        <color theme="1"/>
        <rFont val="Calibri"/>
        <family val="2"/>
      </rPr>
      <t>) * (25°C - T</t>
    </r>
    <r>
      <rPr>
        <vertAlign val="subscript"/>
        <sz val="11"/>
        <color theme="1"/>
        <rFont val="Calibri"/>
        <family val="2"/>
      </rPr>
      <t>min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</si>
  <si>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= estimated dc arc flash incident energy</t>
    </r>
  </si>
  <si>
    <r>
      <rPr>
        <sz val="11"/>
        <color theme="1"/>
        <rFont val="Calibri"/>
        <family val="2"/>
      </rPr>
      <t>IE</t>
    </r>
    <r>
      <rPr>
        <vertAlign val="subscript"/>
        <sz val="11"/>
        <color theme="1"/>
        <rFont val="Calibri"/>
        <family val="2"/>
      </rPr>
      <t>m comp</t>
    </r>
    <r>
      <rPr>
        <sz val="11"/>
        <color theme="1"/>
        <rFont val="Calibri"/>
        <family val="2"/>
      </rPr>
      <t xml:space="preserve"> = estimated temperature compensated dc arc flash incident energy</t>
    </r>
  </si>
  <si>
    <r>
      <rPr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= arcing voltage (V)</t>
    </r>
  </si>
  <si>
    <r>
      <rPr>
        <sz val="11"/>
        <color theme="1"/>
        <rFont val="Calibri"/>
        <family val="2"/>
      </rPr>
      <t>T</t>
    </r>
    <r>
      <rPr>
        <vertAlign val="subscript"/>
        <sz val="11"/>
        <color theme="1"/>
        <rFont val="Calibri"/>
        <family val="2"/>
      </rPr>
      <t>min</t>
    </r>
    <r>
      <rPr>
        <sz val="11"/>
        <color theme="1"/>
        <rFont val="Calibri"/>
        <family val="2"/>
      </rPr>
      <t xml:space="preserve"> = minimum temperature (°C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</si>
  <si>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K</t>
    </r>
    <r>
      <rPr>
        <vertAlign val="subscript"/>
        <sz val="11"/>
        <color theme="1"/>
        <rFont val="Calibri"/>
        <family val="2"/>
      </rPr>
      <t>T Pmax</t>
    </r>
    <r>
      <rPr>
        <sz val="11"/>
        <color theme="1"/>
        <rFont val="Calibri"/>
        <family val="2"/>
      </rPr>
      <t xml:space="preserve"> = temperature coefficient at max power point  (°C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</si>
  <si>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[6] "Safe Distances From a High-Energy Capacitor Bank for Ear and Lung Protection"</t>
  </si>
  <si>
    <r>
      <rPr>
        <sz val="11"/>
        <color theme="1"/>
        <rFont val="Calibri"/>
        <family val="2"/>
      </rPr>
      <t>IE = 0.02 x V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x I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x T</t>
    </r>
    <r>
      <rPr>
        <vertAlign val="subscript"/>
        <sz val="11"/>
        <color theme="1"/>
        <rFont val="Calibri"/>
        <family val="2"/>
      </rPr>
      <t>arc</t>
    </r>
    <r>
      <rPr>
        <sz val="11"/>
        <color theme="1"/>
        <rFont val="Calibri"/>
        <family val="2"/>
      </rPr>
      <t xml:space="preserve"> / D</t>
    </r>
    <r>
      <rPr>
        <vertAlign val="super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</si>
  <si>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IE = 0.02 x E * 1000 / D</t>
    </r>
    <r>
      <rPr>
        <vertAlign val="superscript"/>
        <sz val="11"/>
        <color theme="1"/>
        <rFont val="Calibri"/>
        <family val="2"/>
      </rPr>
      <t>2</t>
    </r>
  </si>
  <si>
    <t>(1)</t>
  </si>
  <si>
    <t>(2)</t>
  </si>
  <si>
    <t>E = Capacitor Stored Energy (kJ)</t>
  </si>
  <si>
    <t>C= Capacitance (C)</t>
  </si>
  <si>
    <t>V = Stored Voltage (V)</t>
  </si>
  <si>
    <r>
      <rPr>
        <sz val="11"/>
        <rFont val="Calibri"/>
        <family val="2"/>
      </rPr>
      <t>I</t>
    </r>
    <r>
      <rPr>
        <sz val="8"/>
        <rFont val="Calibri"/>
        <family val="2"/>
      </rPr>
      <t>bf batt</t>
    </r>
  </si>
  <si>
    <t>[bolted fault short circuit current listed for battery type]</t>
  </si>
  <si>
    <t>N</t>
  </si>
  <si>
    <t>[number of parallel battery strings]</t>
  </si>
  <si>
    <r>
      <t>R</t>
    </r>
    <r>
      <rPr>
        <vertAlign val="subscript"/>
        <sz val="11"/>
        <rFont val="Calibri"/>
        <family val="2"/>
      </rPr>
      <t>cab</t>
    </r>
  </si>
  <si>
    <t>[resistance of cabling and connectors per string]</t>
  </si>
  <si>
    <r>
      <t>I</t>
    </r>
    <r>
      <rPr>
        <sz val="8"/>
        <rFont val="Calibri"/>
        <family val="2"/>
      </rPr>
      <t>bf</t>
    </r>
  </si>
  <si>
    <t>[minimum arcing current for transition point]</t>
  </si>
  <si>
    <t>[minimum arcing voltage for transition point]</t>
  </si>
  <si>
    <r>
      <rPr>
        <sz val="11"/>
        <rFont val="Calibri"/>
        <family val="2"/>
      </rPr>
      <t>I</t>
    </r>
    <r>
      <rPr>
        <sz val="8"/>
        <rFont val="Calibri"/>
        <family val="2"/>
      </rPr>
      <t>t</t>
    </r>
  </si>
  <si>
    <r>
      <rPr>
        <sz val="11"/>
        <rFont val="Calibri"/>
        <family val="2"/>
      </rPr>
      <t>V</t>
    </r>
    <r>
      <rPr>
        <sz val="8"/>
        <rFont val="Calibri"/>
        <family val="2"/>
      </rPr>
      <t>t</t>
    </r>
  </si>
  <si>
    <r>
      <t>R</t>
    </r>
    <r>
      <rPr>
        <vertAlign val="subscript"/>
        <sz val="11"/>
        <color theme="1"/>
        <rFont val="Calibri"/>
        <family val="2"/>
        <scheme val="minor"/>
      </rPr>
      <t>ear</t>
    </r>
    <r>
      <rPr>
        <sz val="11"/>
        <color theme="1"/>
        <rFont val="Calibri"/>
        <family val="2"/>
        <scheme val="minor"/>
      </rPr>
      <t xml:space="preserve"> = 49.29 * E</t>
    </r>
    <r>
      <rPr>
        <vertAlign val="superscript"/>
        <sz val="11"/>
        <color theme="1"/>
        <rFont val="Calibri"/>
        <family val="2"/>
        <scheme val="minor"/>
      </rPr>
      <t>1/3</t>
    </r>
    <r>
      <rPr>
        <sz val="11"/>
        <color theme="1"/>
        <rFont val="Calibri"/>
        <family val="2"/>
        <scheme val="minor"/>
      </rPr>
      <t xml:space="preserve"> - 5.09</t>
    </r>
  </si>
  <si>
    <r>
      <t>R</t>
    </r>
    <r>
      <rPr>
        <vertAlign val="subscript"/>
        <sz val="11"/>
        <color theme="1"/>
        <rFont val="Calibri"/>
        <family val="2"/>
        <scheme val="minor"/>
      </rPr>
      <t>lung</t>
    </r>
    <r>
      <rPr>
        <sz val="11"/>
        <color theme="1"/>
        <rFont val="Calibri"/>
        <family val="2"/>
        <scheme val="minor"/>
      </rPr>
      <t xml:space="preserve"> = 31.32 * E</t>
    </r>
    <r>
      <rPr>
        <vertAlign val="superscript"/>
        <sz val="11"/>
        <color theme="1"/>
        <rFont val="Calibri"/>
        <family val="2"/>
        <scheme val="minor"/>
      </rPr>
      <t>1/3</t>
    </r>
    <r>
      <rPr>
        <sz val="11"/>
        <color theme="1"/>
        <rFont val="Calibri"/>
        <family val="2"/>
        <scheme val="minor"/>
      </rPr>
      <t xml:space="preserve"> - 155.45</t>
    </r>
  </si>
  <si>
    <r>
      <t>E= 0.5 * C * 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1000</t>
    </r>
  </si>
  <si>
    <r>
      <t>R</t>
    </r>
    <r>
      <rPr>
        <vertAlign val="subscript"/>
        <sz val="11"/>
        <color theme="1"/>
        <rFont val="Calibri"/>
        <family val="2"/>
        <scheme val="minor"/>
      </rPr>
      <t>ear</t>
    </r>
    <r>
      <rPr>
        <sz val="11"/>
        <color theme="1"/>
        <rFont val="Calibri"/>
        <family val="2"/>
        <scheme val="minor"/>
      </rPr>
      <t xml:space="preserve"> = Safe Distance from 1% chance of Ear Rupture</t>
    </r>
  </si>
  <si>
    <r>
      <t>R</t>
    </r>
    <r>
      <rPr>
        <vertAlign val="subscript"/>
        <sz val="11"/>
        <color theme="1"/>
        <rFont val="Calibri"/>
        <family val="2"/>
        <scheme val="minor"/>
      </rPr>
      <t>lung</t>
    </r>
    <r>
      <rPr>
        <sz val="11"/>
        <color theme="1"/>
        <rFont val="Calibri"/>
        <family val="2"/>
        <scheme val="minor"/>
      </rPr>
      <t xml:space="preserve"> = Safe Distance from 1% chance of Lung Damage</t>
    </r>
  </si>
  <si>
    <t>[voltage factor - ratio of arcing to system voltage]</t>
  </si>
  <si>
    <r>
      <rPr>
        <sz val="11"/>
        <color theme="1"/>
        <rFont val="Calibri"/>
        <family val="2"/>
      </rPr>
      <t xml:space="preserve">        </t>
    </r>
    <r>
      <rPr>
        <i/>
        <sz val="11"/>
        <color theme="1"/>
        <rFont val="Calibri"/>
        <family val="2"/>
      </rPr>
      <t>IEEE Transactions on Industrial Applications,</t>
    </r>
    <r>
      <rPr>
        <sz val="11"/>
        <color theme="1"/>
        <rFont val="Calibri"/>
        <family val="2"/>
      </rPr>
      <t xml:space="preserve"> Vol. 46, No. 6, November/December 2010.</t>
    </r>
  </si>
  <si>
    <r>
      <rPr>
        <sz val="11"/>
        <color theme="1"/>
        <rFont val="Calibri"/>
        <family val="2"/>
      </rPr>
      <t xml:space="preserve">        </t>
    </r>
    <r>
      <rPr>
        <i/>
        <sz val="11"/>
        <color theme="1"/>
        <rFont val="Calibri"/>
        <family val="2"/>
      </rPr>
      <t>IEEE Transactions on Industrial Applications,</t>
    </r>
    <r>
      <rPr>
        <sz val="11"/>
        <color theme="1"/>
        <rFont val="Calibri"/>
        <family val="2"/>
      </rPr>
      <t xml:space="preserve"> Vol. 46, No. 5, September/October 2010.</t>
    </r>
  </si>
  <si>
    <t>Arc Flash Energy - Inductor - Stored Energy</t>
  </si>
  <si>
    <t>I</t>
  </si>
  <si>
    <t>L</t>
  </si>
  <si>
    <t>mH</t>
  </si>
  <si>
    <t>[inductance in millihenries]</t>
  </si>
  <si>
    <r>
      <t xml:space="preserve">[7] </t>
    </r>
    <r>
      <rPr>
        <i/>
        <sz val="11"/>
        <color theme="1"/>
        <rFont val="Calibri"/>
        <family val="2"/>
        <scheme val="minor"/>
      </rPr>
      <t>Wiley Engineer's Desk Reference</t>
    </r>
    <r>
      <rPr>
        <sz val="11"/>
        <color theme="1"/>
        <rFont val="Calibri"/>
        <family val="2"/>
        <scheme val="minor"/>
      </rPr>
      <t xml:space="preserve">, Second Edition, Heisler, Sanford I., P.E., John </t>
    </r>
  </si>
  <si>
    <t xml:space="preserve">       Wiley &amp; Sons, Inc., c. 1998.</t>
  </si>
  <si>
    <t>(6.25)</t>
  </si>
  <si>
    <r>
      <t>E = 0.5 * L * 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1000</t>
    </r>
  </si>
  <si>
    <t>E = Inductor Stored Energy (kJ)</t>
  </si>
  <si>
    <t>I = Initial Current (A)</t>
  </si>
  <si>
    <t xml:space="preserve">Also included for inductor calculation is an estimated damage radius for ear or lung damage </t>
  </si>
  <si>
    <t>T</t>
  </si>
  <si>
    <t>m</t>
  </si>
  <si>
    <t>[length of coil in meters]</t>
  </si>
  <si>
    <t>d</t>
  </si>
  <si>
    <t>B</t>
  </si>
  <si>
    <t>l</t>
  </si>
  <si>
    <t>Arc Flash Energy - Inductor - Solenoid Superconductors</t>
  </si>
  <si>
    <t>B = Magnetic Field Strength (T)</t>
  </si>
  <si>
    <r>
      <rPr>
        <sz val="11"/>
        <color theme="1"/>
        <rFont val="Brush Script MT"/>
        <family val="4"/>
      </rPr>
      <t>l</t>
    </r>
    <r>
      <rPr>
        <sz val="11"/>
        <color theme="1"/>
        <rFont val="Calibri"/>
        <family val="2"/>
        <scheme val="minor"/>
      </rPr>
      <t xml:space="preserve"> = Solenoid Length (m)</t>
    </r>
  </si>
  <si>
    <r>
      <rPr>
        <i/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Magnetic Constant = 4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 * 10</t>
    </r>
    <r>
      <rPr>
        <vertAlign val="superscript"/>
        <sz val="11"/>
        <color theme="1"/>
        <rFont val="Calibri"/>
        <family val="2"/>
        <scheme val="minor"/>
      </rPr>
      <t xml:space="preserve">-7 </t>
    </r>
    <r>
      <rPr>
        <sz val="11"/>
        <color theme="1"/>
        <rFont val="Calibri"/>
        <family val="2"/>
        <scheme val="minor"/>
      </rPr>
      <t>H/m</t>
    </r>
  </si>
  <si>
    <t>L= Inductance (H)</t>
  </si>
  <si>
    <r>
      <t>L / 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p *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</t>
    </r>
    <r>
      <rPr>
        <i/>
        <sz val="11"/>
        <color theme="1"/>
        <rFont val="Brush Script MT"/>
        <family val="4"/>
      </rPr>
      <t xml:space="preserve"> l</t>
    </r>
    <r>
      <rPr>
        <sz val="11"/>
        <color theme="1"/>
        <rFont val="Calibri"/>
        <family val="2"/>
        <scheme val="minor"/>
      </rPr>
      <t xml:space="preserve"> / 4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/ 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</si>
  <si>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 = 0.5 * L * 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1000 = 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 *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i/>
        <sz val="11"/>
        <color theme="1"/>
        <rFont val="Brush Script MT"/>
        <family val="4"/>
      </rPr>
      <t>l</t>
    </r>
    <r>
      <rPr>
        <sz val="11"/>
        <color theme="1"/>
        <rFont val="Calibri"/>
        <family val="2"/>
        <scheme val="minor"/>
      </rPr>
      <t xml:space="preserve"> / 8000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</si>
  <si>
    <r>
      <t xml:space="preserve">B =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* n * I =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* N * I / </t>
    </r>
    <r>
      <rPr>
        <sz val="11"/>
        <color theme="1"/>
        <rFont val="Brush Script MT"/>
        <family val="4"/>
      </rPr>
      <t>l</t>
    </r>
  </si>
  <si>
    <t>(8.32)</t>
  </si>
  <si>
    <t>(6.54)</t>
  </si>
  <si>
    <t>N = Number of turns</t>
  </si>
  <si>
    <r>
      <t>n = Number of turns per length (m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) = N / </t>
    </r>
    <r>
      <rPr>
        <sz val="11"/>
        <color theme="1"/>
        <rFont val="Brush Script MT"/>
        <family val="4"/>
      </rPr>
      <t>l</t>
    </r>
  </si>
  <si>
    <t>r = Solenoid Radius (m)</t>
  </si>
  <si>
    <r>
      <t xml:space="preserve">L =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* 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 *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theme="1"/>
        <rFont val="Brush Script MT"/>
        <family val="4"/>
      </rPr>
      <t xml:space="preserve">l =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* 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Symbol"/>
        <family val="1"/>
        <charset val="2"/>
      </rPr>
      <t>p</t>
    </r>
    <r>
      <rPr>
        <sz val="11"/>
        <color theme="1"/>
        <rFont val="Calibri"/>
        <family val="2"/>
        <scheme val="minor"/>
      </rPr>
      <t xml:space="preserve"> *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4</t>
    </r>
    <r>
      <rPr>
        <sz val="11"/>
        <color theme="1"/>
        <rFont val="Brush Script MT"/>
        <family val="4"/>
      </rPr>
      <t xml:space="preserve"> l</t>
    </r>
  </si>
  <si>
    <r>
      <t xml:space="preserve">[8] </t>
    </r>
    <r>
      <rPr>
        <i/>
        <sz val="11"/>
        <color theme="1"/>
        <rFont val="Calibri"/>
        <family val="2"/>
        <scheme val="minor"/>
      </rPr>
      <t>Electromagnetism Maxwell Equations, Wave Propogation and Emmision</t>
    </r>
    <r>
      <rPr>
        <sz val="11"/>
        <color theme="1"/>
        <rFont val="Calibri"/>
        <family val="2"/>
        <scheme val="minor"/>
      </rPr>
      <t xml:space="preserve">, </t>
    </r>
  </si>
  <si>
    <t xml:space="preserve">       Bécherrawy, Tamer, John Wiley &amp; Sons, Inc., c. 2012.</t>
  </si>
  <si>
    <t>[maximum magnetic field in tesla]</t>
  </si>
  <si>
    <t>[diameter of coil in meters]</t>
  </si>
  <si>
    <t>d = Solenoid Diameter (m) = r * 2</t>
  </si>
  <si>
    <t xml:space="preserve">Caution: These equations are based on a manually entered estimate of gap and an </t>
  </si>
  <si>
    <t>an upper bound of arcing current based on short circuit PV current.  Effects based on OCPD's</t>
  </si>
  <si>
    <t>may have little effect on PV devices due to the nature of short circuits with this technology.</t>
  </si>
  <si>
    <r>
      <rPr>
        <sz val="11"/>
        <rFont val="Calibri"/>
        <family val="2"/>
      </rPr>
      <t>V</t>
    </r>
    <r>
      <rPr>
        <sz val="8"/>
        <rFont val="Calibri"/>
        <family val="2"/>
      </rPr>
      <t>mod</t>
    </r>
  </si>
  <si>
    <t>[modules in series in system]</t>
  </si>
  <si>
    <r>
      <rPr>
        <sz val="11"/>
        <rFont val="Calibri"/>
        <family val="2"/>
      </rPr>
      <t>V</t>
    </r>
    <r>
      <rPr>
        <sz val="8"/>
        <rFont val="Calibri"/>
        <family val="2"/>
      </rPr>
      <t>sys</t>
    </r>
  </si>
  <si>
    <t>[system operating voltage]</t>
  </si>
  <si>
    <r>
      <t>R</t>
    </r>
    <r>
      <rPr>
        <vertAlign val="subscript"/>
        <sz val="11"/>
        <rFont val="Calibri"/>
        <family val="2"/>
      </rPr>
      <t>arc</t>
    </r>
  </si>
  <si>
    <r>
      <t>V</t>
    </r>
    <r>
      <rPr>
        <sz val="8"/>
        <rFont val="Calibri"/>
        <family val="2"/>
      </rPr>
      <t>arc</t>
    </r>
  </si>
  <si>
    <r>
      <t>I</t>
    </r>
    <r>
      <rPr>
        <sz val="8"/>
        <rFont val="Calibri"/>
        <family val="2"/>
      </rPr>
      <t>sc mod 0</t>
    </r>
  </si>
  <si>
    <t>[short circuit current per module]</t>
  </si>
  <si>
    <t>[temperature coefficient]</t>
  </si>
  <si>
    <t>[temperature factor]</t>
  </si>
  <si>
    <t>[elevation of array in meters]</t>
  </si>
  <si>
    <t>ft</t>
  </si>
  <si>
    <t>[elevation of array in feet]</t>
  </si>
  <si>
    <t>EF</t>
  </si>
  <si>
    <r>
      <t>I</t>
    </r>
    <r>
      <rPr>
        <sz val="8"/>
        <rFont val="Calibri"/>
        <family val="2"/>
      </rPr>
      <t>sc mod</t>
    </r>
  </si>
  <si>
    <t>[short circuit current per module adjusted]</t>
  </si>
  <si>
    <t>M</t>
  </si>
  <si>
    <t>[number of parallel module strings]</t>
  </si>
  <si>
    <r>
      <rPr>
        <sz val="11"/>
        <rFont val="Calibri"/>
        <family val="2"/>
      </rPr>
      <t>I</t>
    </r>
    <r>
      <rPr>
        <sz val="8"/>
        <rFont val="Calibri"/>
        <family val="2"/>
      </rPr>
      <t>sc sys</t>
    </r>
  </si>
  <si>
    <t>[system short circuit current]</t>
  </si>
  <si>
    <r>
      <rPr>
        <sz val="11"/>
        <rFont val="Calibri"/>
        <family val="2"/>
      </rPr>
      <t>I</t>
    </r>
    <r>
      <rPr>
        <sz val="8"/>
        <rFont val="Calibri"/>
        <family val="2"/>
      </rPr>
      <t>arc</t>
    </r>
  </si>
  <si>
    <r>
      <rPr>
        <sz val="11"/>
        <rFont val="Calibri"/>
        <family val="2"/>
      </rPr>
      <t>I</t>
    </r>
    <r>
      <rPr>
        <sz val="8"/>
        <rFont val="Calibri"/>
        <family val="2"/>
      </rPr>
      <t>t</t>
    </r>
  </si>
  <si>
    <r>
      <rPr>
        <sz val="11"/>
        <rFont val="Calibri"/>
        <family val="2"/>
      </rPr>
      <t>V</t>
    </r>
    <r>
      <rPr>
        <sz val="8"/>
        <rFont val="Calibri"/>
        <family val="2"/>
      </rPr>
      <t>t</t>
    </r>
  </si>
  <si>
    <r>
      <rPr>
        <sz val="11"/>
        <color theme="1"/>
        <rFont val="Calibri"/>
        <family val="2"/>
      </rPr>
      <t>T</t>
    </r>
    <r>
      <rPr>
        <sz val="8"/>
        <color theme="1"/>
        <rFont val="Calibri"/>
        <family val="2"/>
      </rPr>
      <t>arc</t>
    </r>
  </si>
  <si>
    <r>
      <rPr>
        <sz val="11"/>
        <color theme="1"/>
        <rFont val="Calibri"/>
        <family val="2"/>
      </rPr>
      <t>CF</t>
    </r>
    <r>
      <rPr>
        <sz val="8"/>
        <color theme="1"/>
        <rFont val="Calibri"/>
        <family val="2"/>
      </rPr>
      <t>WD</t>
    </r>
  </si>
  <si>
    <r>
      <rPr>
        <sz val="11"/>
        <color theme="1"/>
        <rFont val="Calibri"/>
        <family val="2"/>
      </rPr>
      <t>CF</t>
    </r>
    <r>
      <rPr>
        <sz val="8"/>
        <color theme="1"/>
        <rFont val="Calibri"/>
        <family val="2"/>
      </rPr>
      <t>AFB</t>
    </r>
  </si>
  <si>
    <r>
      <rPr>
        <sz val="11"/>
        <color theme="1"/>
        <rFont val="Calibri"/>
        <family val="2"/>
      </rPr>
      <t>IE</t>
    </r>
    <r>
      <rPr>
        <sz val="8"/>
        <color theme="1"/>
        <rFont val="Calibri"/>
        <family val="2"/>
      </rPr>
      <t>m</t>
    </r>
  </si>
  <si>
    <r>
      <rPr>
        <sz val="11"/>
        <color theme="1"/>
        <rFont val="Calibri"/>
        <family val="2"/>
      </rPr>
      <t>cal/cm</t>
    </r>
    <r>
      <rPr>
        <vertAlign val="super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</si>
  <si>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K</t>
    </r>
    <r>
      <rPr>
        <sz val="8"/>
        <color theme="1"/>
        <rFont val="Calibri"/>
        <family val="2"/>
      </rPr>
      <t>T-I</t>
    </r>
    <r>
      <rPr>
        <vertAlign val="subscript"/>
        <sz val="8"/>
        <color theme="1"/>
        <rFont val="Calibri"/>
        <family val="2"/>
      </rPr>
      <t>SC</t>
    </r>
  </si>
  <si>
    <r>
      <rPr>
        <sz val="11"/>
        <color theme="1"/>
        <rFont val="Calibri"/>
        <family val="2"/>
      </rPr>
      <t>T</t>
    </r>
    <r>
      <rPr>
        <sz val="8"/>
        <color theme="1"/>
        <rFont val="Calibri"/>
        <family val="2"/>
      </rPr>
      <t>max</t>
    </r>
  </si>
  <si>
    <t>[max temperature]</t>
  </si>
  <si>
    <t>[module max power voltage]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</si>
  <si>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</si>
  <si>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[rated standard irradiance from specifications]</t>
  </si>
  <si>
    <r>
      <t>I</t>
    </r>
    <r>
      <rPr>
        <vertAlign val="subscript"/>
        <sz val="11"/>
        <rFont val="Calibri"/>
        <family val="2"/>
      </rPr>
      <t>G</t>
    </r>
  </si>
  <si>
    <r>
      <t>I</t>
    </r>
    <r>
      <rPr>
        <vertAlign val="subscript"/>
        <sz val="11"/>
        <color theme="1"/>
        <rFont val="Calibri"/>
        <family val="2"/>
        <scheme val="minor"/>
      </rPr>
      <t>STC</t>
    </r>
  </si>
  <si>
    <t>h</t>
  </si>
  <si>
    <t>[calculated maximum global irradiance with AM=1]</t>
  </si>
  <si>
    <r>
      <t xml:space="preserve">[6]  </t>
    </r>
    <r>
      <rPr>
        <i/>
        <sz val="11"/>
        <color theme="1"/>
        <rFont val="Calibri"/>
        <family val="2"/>
        <scheme val="minor"/>
      </rPr>
      <t>Applied Solar Energy</t>
    </r>
    <r>
      <rPr>
        <sz val="11"/>
        <color theme="1"/>
        <rFont val="Calibri"/>
        <family val="2"/>
        <scheme val="minor"/>
      </rPr>
      <t xml:space="preserve">. A. B. Meinel and Meinel, M. P., Addison Wesley </t>
    </r>
  </si>
  <si>
    <t xml:space="preserve">        Publishing Co., 1976.</t>
  </si>
  <si>
    <t xml:space="preserve">[7]  "The measurement of solar spectral irradiance at different terrestrial </t>
  </si>
  <si>
    <r>
      <t xml:space="preserve">        elevations”, E. G. Laue, </t>
    </r>
    <r>
      <rPr>
        <i/>
        <sz val="11"/>
        <color theme="1"/>
        <rFont val="Calibri"/>
        <family val="2"/>
      </rPr>
      <t>Solar Energy</t>
    </r>
    <r>
      <rPr>
        <sz val="11"/>
        <color theme="1"/>
        <rFont val="Calibri"/>
        <family val="2"/>
      </rPr>
      <t>, vol. 13, pp. 43 - 50, IN1-IN4, 51-57, 1970.</t>
    </r>
  </si>
  <si>
    <r>
      <t xml:space="preserve">[9]  </t>
    </r>
    <r>
      <rPr>
        <i/>
        <sz val="11"/>
        <color theme="1"/>
        <rFont val="Calibri"/>
        <family val="2"/>
        <scheme val="minor"/>
      </rPr>
      <t>Applied Solar Energy</t>
    </r>
    <r>
      <rPr>
        <sz val="11"/>
        <color theme="1"/>
        <rFont val="Calibri"/>
        <family val="2"/>
        <scheme val="minor"/>
      </rPr>
      <t xml:space="preserve">. A. B. Meinel and Meinel, M. P., Addison Wesley </t>
    </r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</si>
  <si>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charset val="134"/>
        <scheme val="minor"/>
      </rPr>
      <t>= 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charset val="134"/>
        <scheme val="minor"/>
      </rPr>
      <t xml:space="preserve"> * 0.7 </t>
    </r>
    <r>
      <rPr>
        <vertAlign val="superscript"/>
        <sz val="11"/>
        <color theme="1"/>
        <rFont val="Calibri"/>
        <family val="2"/>
        <scheme val="minor"/>
      </rPr>
      <t>AM ^ 0.678</t>
    </r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</si>
  <si>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charset val="134"/>
        <scheme val="minor"/>
      </rPr>
      <t>= 1.1 * I</t>
    </r>
    <r>
      <rPr>
        <vertAlign val="subscript"/>
        <sz val="11"/>
        <color theme="1"/>
        <rFont val="Calibri"/>
        <family val="2"/>
        <scheme val="minor"/>
      </rPr>
      <t>D</t>
    </r>
  </si>
  <si>
    <t>AM = Air Mass :  AM=1 for overhead maximum value</t>
  </si>
  <si>
    <r>
      <t>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charset val="134"/>
        <scheme val="minor"/>
      </rPr>
      <t xml:space="preserve"> = Total Solar Irradiance : Max 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charset val="134"/>
        <scheme val="minor"/>
      </rPr>
      <t xml:space="preserve"> = 1397.6 W/m2 at perihelion</t>
    </r>
  </si>
  <si>
    <t>[irradiance factor]</t>
  </si>
  <si>
    <r>
      <t>I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charset val="134"/>
        <scheme val="minor"/>
      </rPr>
      <t xml:space="preserve"> = Direct Irradiance</t>
    </r>
  </si>
  <si>
    <r>
      <t>I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charset val="134"/>
        <scheme val="minor"/>
      </rPr>
      <t xml:space="preserve"> = Global Irradiance (takes scattering into account)</t>
    </r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</si>
  <si>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G max </t>
    </r>
    <r>
      <rPr>
        <sz val="11"/>
        <color theme="1"/>
        <rFont val="Calibri"/>
        <charset val="134"/>
        <scheme val="minor"/>
      </rPr>
      <t>= 1.1 * 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charset val="134"/>
        <scheme val="minor"/>
      </rPr>
      <t xml:space="preserve"> * 0.7 = 1076.2 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charset val="134"/>
        <scheme val="minor"/>
      </rPr>
      <t xml:space="preserve"> when AM = 1</t>
    </r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</si>
  <si>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charset val="134"/>
        <scheme val="minor"/>
      </rPr>
      <t>= 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charset val="134"/>
        <scheme val="minor"/>
      </rPr>
      <t xml:space="preserve"> * [(1−ah) * 0.7</t>
    </r>
    <r>
      <rPr>
        <vertAlign val="superscript"/>
        <sz val="11"/>
        <color theme="1"/>
        <rFont val="Calibri"/>
        <family val="2"/>
        <scheme val="minor"/>
      </rPr>
      <t>AM^0.678</t>
    </r>
    <r>
      <rPr>
        <sz val="11"/>
        <color theme="1"/>
        <rFont val="Calibri"/>
        <charset val="134"/>
        <scheme val="minor"/>
      </rPr>
      <t>+ah]</t>
    </r>
  </si>
  <si>
    <t>a = 0.14</t>
  </si>
  <si>
    <r>
      <t>I</t>
    </r>
    <r>
      <rPr>
        <vertAlign val="subscript"/>
        <sz val="11"/>
        <color theme="1"/>
        <rFont val="Calibri"/>
        <family val="2"/>
        <scheme val="minor"/>
      </rPr>
      <t xml:space="preserve">G max </t>
    </r>
    <r>
      <rPr>
        <sz val="11"/>
        <color theme="1"/>
        <rFont val="Calibri"/>
        <charset val="134"/>
        <scheme val="minor"/>
      </rPr>
      <t>= 1.1 * 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charset val="134"/>
        <scheme val="minor"/>
      </rPr>
      <t xml:space="preserve"> * [(1-ah) * 0.7  + ah]</t>
    </r>
  </si>
  <si>
    <t>h = height in km</t>
  </si>
  <si>
    <t xml:space="preserve">[10]  "The measurement of solar spectral irradiance at different terrestrial </t>
  </si>
  <si>
    <t>[resistance of arc from Sekulic, Marroquin &amp; McNutt]</t>
  </si>
  <si>
    <t>[arcing voltage from Sekulic, Marroquin &amp; McNutt]</t>
  </si>
  <si>
    <t>Arc Flash Energy - Modified Stokes &amp; Oppenlander - PV Systems</t>
  </si>
  <si>
    <t>The Stokes &amp; Oppenlander numbers are modified for expanded arc in a non-linear PV system</t>
  </si>
  <si>
    <t>as described in Sekulic, Maroquin and McNutt [5].</t>
  </si>
  <si>
    <t xml:space="preserve">[5]  "Methods for Evaluating DC Arc Incident Energy in PV Systems," Sekulic, William; </t>
  </si>
  <si>
    <r>
      <t xml:space="preserve">        et al.; </t>
    </r>
    <r>
      <rPr>
        <i/>
        <sz val="11"/>
        <color theme="1"/>
        <rFont val="Calibri"/>
        <family val="2"/>
      </rPr>
      <t>2021 IEEE IAS Electrical Safety Workshop.</t>
    </r>
  </si>
  <si>
    <t xml:space="preserve">[11]  "Methods for Evaluating DC Arc Incident Energy in PV Systems," Sekulic, William; </t>
  </si>
  <si>
    <r>
      <t>R</t>
    </r>
    <r>
      <rPr>
        <vertAlign val="subscript"/>
        <sz val="11"/>
        <color theme="1"/>
        <rFont val="Calibri"/>
        <family val="2"/>
      </rPr>
      <t>arc 0</t>
    </r>
    <r>
      <rPr>
        <sz val="11"/>
        <color theme="1"/>
        <rFont val="Calibri"/>
        <family val="2"/>
      </rPr>
      <t xml:space="preserve"> = arc resistance estimated from Stokes and Oppenlander [4] 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</rPr>
      <t>)</t>
    </r>
  </si>
  <si>
    <r>
      <t>V</t>
    </r>
    <r>
      <rPr>
        <vertAlign val="subscript"/>
        <sz val="11"/>
        <color theme="1"/>
        <rFont val="Calibri"/>
        <family val="2"/>
      </rPr>
      <t>arc 0</t>
    </r>
    <r>
      <rPr>
        <sz val="11"/>
        <color theme="1"/>
        <rFont val="Calibri"/>
        <family val="2"/>
      </rPr>
      <t xml:space="preserve"> = arcing voltage estimated from Stokes and Oppenlander [4] (V)</t>
    </r>
  </si>
  <si>
    <r>
      <t>R</t>
    </r>
    <r>
      <rPr>
        <vertAlign val="subscript"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 xml:space="preserve"> = R</t>
    </r>
    <r>
      <rPr>
        <vertAlign val="subscript"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[1 +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Symbol"/>
        <family val="1"/>
        <charset val="2"/>
      </rPr>
      <t>b</t>
    </r>
    <r>
      <rPr>
        <vertAlign val="superscript"/>
        <sz val="11"/>
        <color theme="1"/>
        <rFont val="Calibri"/>
        <family val="2"/>
        <scheme val="minor"/>
      </rPr>
      <t>(t-T</t>
    </r>
    <r>
      <rPr>
        <vertAlign val="superscript"/>
        <sz val="8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h(t-T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)]</t>
    </r>
  </si>
  <si>
    <r>
      <t>V</t>
    </r>
    <r>
      <rPr>
        <vertAlign val="subscript"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 xml:space="preserve"> = V</t>
    </r>
    <r>
      <rPr>
        <vertAlign val="subscript"/>
        <sz val="11"/>
        <color theme="1"/>
        <rFont val="Calibri"/>
        <family val="2"/>
        <scheme val="minor"/>
      </rPr>
      <t>arc</t>
    </r>
    <r>
      <rPr>
        <sz val="11"/>
        <color theme="1"/>
        <rFont val="Calibri"/>
        <family val="2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[1 +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Symbol"/>
        <family val="1"/>
        <charset val="2"/>
      </rPr>
      <t>b</t>
    </r>
    <r>
      <rPr>
        <vertAlign val="superscript"/>
        <sz val="11"/>
        <color theme="1"/>
        <rFont val="Calibri"/>
        <family val="2"/>
        <scheme val="minor"/>
      </rPr>
      <t>(t-T</t>
    </r>
    <r>
      <rPr>
        <vertAlign val="superscript"/>
        <sz val="8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h(t-T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)]</t>
    </r>
  </si>
  <si>
    <t>h(t) = Heaviside Step Function</t>
  </si>
  <si>
    <r>
      <rPr>
        <sz val="11"/>
        <rFont val="Calibri"/>
        <family val="2"/>
      </rPr>
      <t>V</t>
    </r>
    <r>
      <rPr>
        <sz val="8"/>
        <rFont val="Calibri"/>
        <family val="2"/>
      </rPr>
      <t>peak</t>
    </r>
  </si>
  <si>
    <t>[peak open circuit voltage]</t>
  </si>
  <si>
    <t>[peak system initial circuit current]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</si>
  <si>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Proportional arc elongation coefficient == 0.25 *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</si>
  <si>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 = Exponential arc elongation coefficient == 0.525 *</t>
    </r>
  </si>
  <si>
    <t>A. Marraquin on 12/14/2021to correct an error in the original paper.</t>
  </si>
  <si>
    <r>
      <t xml:space="preserve">* revised constants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 provided by personal correspondance from author </t>
    </r>
  </si>
  <si>
    <r>
      <t>T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Inception or arc ignition time (s) == 25 ms</t>
    </r>
  </si>
  <si>
    <r>
      <t xml:space="preserve">[1]  NFPA 70E, </t>
    </r>
    <r>
      <rPr>
        <i/>
        <sz val="11"/>
        <color theme="1"/>
        <rFont val="Calibri"/>
        <family val="2"/>
      </rPr>
      <t>Standard for Electrical Safety in the Workplace,</t>
    </r>
    <r>
      <rPr>
        <sz val="11"/>
        <color theme="1"/>
        <rFont val="Calibri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</si>
</sst>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0"/>
    <numFmt numFmtId="166" formatCode="0.0000_ "/>
    <numFmt numFmtId="167" formatCode="0.0%"/>
    <numFmt numFmtId="168" formatCode="0.00_ "/>
    <numFmt numFmtId="169" formatCode="0_ "/>
    <numFmt numFmtId="170" formatCode="0.000"/>
  </numFmts>
  <fonts count="4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vertAlign val="subscript"/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Brush Script MT"/>
      <family val="4"/>
    </font>
    <font>
      <sz val="11"/>
      <color theme="1"/>
      <name val="Brush Script MT"/>
      <family val="4"/>
    </font>
    <font>
      <i/>
      <sz val="11"/>
      <color theme="1"/>
      <name val="Brush Script MT"/>
      <family val="4"/>
    </font>
    <font>
      <i/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vertAlign val="superscript"/>
      <sz val="11"/>
      <color theme="1"/>
      <name val="Symbol"/>
      <family val="1"/>
      <charset val="2"/>
    </font>
    <font>
      <vertAlign val="superscript"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3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144">
    <xf numFmtId="0" fontId="0" fillId="0" borderId="0" xfId="0"/>
    <xf numFmtId="0" fontId="16" fillId="0" borderId="0" xfId="0" applyFont="1" applyFill="1" applyAlignment="1" applyProtection="1"/>
    <xf numFmtId="0" fontId="16" fillId="0" borderId="2" xfId="0" applyFont="1" applyFill="1" applyBorder="1" applyAlignment="1" applyProtection="1">
      <alignment horizontal="right"/>
      <protection hidden="1"/>
    </xf>
    <xf numFmtId="0" fontId="16" fillId="0" borderId="3" xfId="0" applyFont="1" applyFill="1" applyBorder="1" applyAlignment="1" applyProtection="1"/>
    <xf numFmtId="0" fontId="16" fillId="0" borderId="4" xfId="0" applyFont="1" applyFill="1" applyBorder="1" applyAlignment="1" applyProtection="1">
      <alignment horizontal="right"/>
      <protection hidden="1"/>
    </xf>
    <xf numFmtId="0" fontId="16" fillId="0" borderId="3" xfId="0" applyFont="1" applyFill="1" applyBorder="1" applyAlignment="1" applyProtection="1">
      <alignment horizontal="right"/>
      <protection hidden="1"/>
    </xf>
    <xf numFmtId="0" fontId="16" fillId="0" borderId="5" xfId="0" applyFont="1" applyFill="1" applyBorder="1" applyAlignment="1" applyProtection="1">
      <alignment horizontal="right"/>
      <protection hidden="1"/>
    </xf>
    <xf numFmtId="0" fontId="16" fillId="0" borderId="1" xfId="0" applyFont="1" applyFill="1" applyBorder="1" applyAlignment="1" applyProtection="1"/>
    <xf numFmtId="1" fontId="16" fillId="0" borderId="6" xfId="0" applyNumberFormat="1" applyFont="1" applyFill="1" applyBorder="1" applyAlignment="1" applyProtection="1">
      <alignment horizontal="right"/>
      <protection hidden="1"/>
    </xf>
    <xf numFmtId="164" fontId="16" fillId="0" borderId="1" xfId="0" applyNumberFormat="1" applyFont="1" applyFill="1" applyBorder="1" applyAlignment="1" applyProtection="1">
      <alignment horizontal="right"/>
      <protection hidden="1"/>
    </xf>
    <xf numFmtId="164" fontId="16" fillId="0" borderId="6" xfId="0" applyNumberFormat="1" applyFont="1" applyFill="1" applyBorder="1" applyAlignment="1" applyProtection="1">
      <alignment horizontal="right"/>
      <protection hidden="1"/>
    </xf>
    <xf numFmtId="0" fontId="16" fillId="0" borderId="7" xfId="0" applyFont="1" applyFill="1" applyBorder="1" applyAlignment="1" applyProtection="1">
      <alignment horizontal="right"/>
      <protection hidden="1"/>
    </xf>
    <xf numFmtId="164" fontId="16" fillId="0" borderId="8" xfId="0" applyNumberFormat="1" applyFont="1" applyFill="1" applyBorder="1" applyAlignment="1" applyProtection="1">
      <alignment horizontal="right"/>
      <protection hidden="1"/>
    </xf>
    <xf numFmtId="164" fontId="16" fillId="0" borderId="9" xfId="0" applyNumberFormat="1" applyFont="1" applyFill="1" applyBorder="1" applyAlignment="1" applyProtection="1">
      <alignment horizontal="right"/>
      <protection hidden="1"/>
    </xf>
    <xf numFmtId="1" fontId="16" fillId="0" borderId="5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protection hidden="1"/>
    </xf>
    <xf numFmtId="1" fontId="16" fillId="2" borderId="7" xfId="0" applyNumberFormat="1" applyFont="1" applyFill="1" applyBorder="1" applyAlignment="1" applyProtection="1"/>
    <xf numFmtId="1" fontId="16" fillId="2" borderId="9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164" fontId="17" fillId="3" borderId="1" xfId="0" applyNumberFormat="1" applyFont="1" applyFill="1" applyBorder="1" applyAlignment="1" applyProtection="1">
      <alignment horizontal="center"/>
      <protection hidden="1"/>
    </xf>
    <xf numFmtId="165" fontId="17" fillId="3" borderId="1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/>
    <xf numFmtId="0" fontId="17" fillId="0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6" fillId="0" borderId="16" xfId="0" applyFont="1" applyFill="1" applyBorder="1" applyAlignment="1" applyProtection="1"/>
    <xf numFmtId="0" fontId="17" fillId="0" borderId="17" xfId="0" applyFont="1" applyFill="1" applyBorder="1" applyAlignment="1" applyProtection="1"/>
    <xf numFmtId="164" fontId="17" fillId="3" borderId="5" xfId="0" applyNumberFormat="1" applyFon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wrapText="1"/>
    </xf>
    <xf numFmtId="0" fontId="17" fillId="0" borderId="6" xfId="0" applyFont="1" applyFill="1" applyBorder="1" applyAlignment="1" applyProtection="1">
      <alignment horizontal="center" wrapText="1"/>
    </xf>
    <xf numFmtId="164" fontId="17" fillId="3" borderId="20" xfId="0" applyNumberFormat="1" applyFont="1" applyFill="1" applyBorder="1" applyAlignment="1" applyProtection="1">
      <alignment horizontal="center"/>
      <protection hidden="1"/>
    </xf>
    <xf numFmtId="1" fontId="17" fillId="3" borderId="8" xfId="0" applyNumberFormat="1" applyFont="1" applyFill="1" applyBorder="1" applyAlignment="1" applyProtection="1">
      <alignment horizontal="center"/>
      <protection hidden="1"/>
    </xf>
    <xf numFmtId="164" fontId="17" fillId="3" borderId="9" xfId="0" applyNumberFormat="1" applyFont="1" applyFill="1" applyBorder="1" applyAlignment="1" applyProtection="1">
      <alignment horizontal="center"/>
      <protection hidden="1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4" xfId="0" applyFont="1" applyFill="1" applyBorder="1" applyAlignment="1" applyProtection="1">
      <alignment horizontal="center" wrapText="1"/>
    </xf>
    <xf numFmtId="164" fontId="16" fillId="5" borderId="5" xfId="0" applyNumberFormat="1" applyFont="1" applyFill="1" applyBorder="1" applyAlignment="1" applyProtection="1">
      <alignment horizontal="center"/>
    </xf>
    <xf numFmtId="164" fontId="16" fillId="5" borderId="7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 applyProtection="1">
      <alignment horizontal="right"/>
      <protection hidden="1"/>
    </xf>
    <xf numFmtId="0" fontId="17" fillId="0" borderId="21" xfId="0" applyFont="1" applyFill="1" applyBorder="1" applyAlignment="1" applyProtection="1">
      <alignment horizontal="center" wrapText="1"/>
    </xf>
    <xf numFmtId="0" fontId="21" fillId="0" borderId="0" xfId="0" applyFont="1" applyProtection="1">
      <protection locked="0"/>
    </xf>
    <xf numFmtId="0" fontId="20" fillId="6" borderId="1" xfId="0" applyFont="1" applyFill="1" applyBorder="1" applyProtection="1">
      <protection locked="0"/>
    </xf>
    <xf numFmtId="0" fontId="20" fillId="0" borderId="0" xfId="0" applyFont="1"/>
    <xf numFmtId="0" fontId="18" fillId="0" borderId="0" xfId="0" applyFont="1"/>
    <xf numFmtId="0" fontId="19" fillId="0" borderId="0" xfId="0" applyFont="1"/>
    <xf numFmtId="164" fontId="20" fillId="0" borderId="22" xfId="0" applyNumberFormat="1" applyFont="1" applyFill="1" applyBorder="1"/>
    <xf numFmtId="9" fontId="20" fillId="0" borderId="0" xfId="1" applyFont="1" applyFill="1" applyBorder="1"/>
    <xf numFmtId="164" fontId="20" fillId="0" borderId="0" xfId="0" applyNumberFormat="1" applyFont="1" applyFill="1" applyBorder="1"/>
    <xf numFmtId="165" fontId="20" fillId="0" borderId="0" xfId="1" applyNumberFormat="1" applyFont="1" applyFill="1" applyBorder="1"/>
    <xf numFmtId="0" fontId="22" fillId="0" borderId="0" xfId="0" applyFont="1"/>
    <xf numFmtId="164" fontId="0" fillId="0" borderId="0" xfId="0" applyNumberFormat="1"/>
    <xf numFmtId="1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2" fontId="0" fillId="7" borderId="1" xfId="0" applyNumberFormat="1" applyFill="1" applyBorder="1"/>
    <xf numFmtId="164" fontId="0" fillId="7" borderId="1" xfId="0" applyNumberFormat="1" applyFill="1" applyBorder="1"/>
    <xf numFmtId="164" fontId="0" fillId="0" borderId="0" xfId="0" applyNumberFormat="1" applyFill="1" applyBorder="1"/>
    <xf numFmtId="0" fontId="0" fillId="0" borderId="0" xfId="0" applyFill="1"/>
    <xf numFmtId="165" fontId="0" fillId="0" borderId="0" xfId="0" applyNumberFormat="1"/>
    <xf numFmtId="164" fontId="20" fillId="0" borderId="0" xfId="0" applyNumberFormat="1" applyFont="1"/>
    <xf numFmtId="167" fontId="0" fillId="0" borderId="0" xfId="0" applyNumberFormat="1"/>
    <xf numFmtId="0" fontId="0" fillId="0" borderId="0" xfId="0" quotePrefix="1"/>
    <xf numFmtId="0" fontId="26" fillId="0" borderId="0" xfId="0" applyFont="1"/>
    <xf numFmtId="0" fontId="33" fillId="0" borderId="0" xfId="0" applyFont="1"/>
    <xf numFmtId="0" fontId="14" fillId="0" borderId="0" xfId="0" applyFont="1"/>
    <xf numFmtId="1" fontId="20" fillId="0" borderId="0" xfId="0" applyNumberFormat="1" applyFont="1" applyFill="1" applyBorder="1"/>
    <xf numFmtId="0" fontId="34" fillId="0" borderId="0" xfId="0" applyFont="1" applyAlignment="1"/>
    <xf numFmtId="0" fontId="18" fillId="0" borderId="0" xfId="0" applyFont="1" applyProtection="1"/>
    <xf numFmtId="0" fontId="0" fillId="0" borderId="0" xfId="0" applyProtection="1"/>
    <xf numFmtId="0" fontId="19" fillId="0" borderId="0" xfId="0" applyFont="1" applyProtection="1"/>
    <xf numFmtId="0" fontId="20" fillId="0" borderId="0" xfId="0" applyFont="1" applyProtection="1"/>
    <xf numFmtId="0" fontId="26" fillId="0" borderId="0" xfId="0" applyFont="1" applyProtection="1"/>
    <xf numFmtId="0" fontId="33" fillId="0" borderId="0" xfId="0" applyFont="1" applyProtection="1"/>
    <xf numFmtId="0" fontId="34" fillId="0" borderId="0" xfId="0" applyFont="1" applyAlignment="1" applyProtection="1"/>
    <xf numFmtId="0" fontId="14" fillId="0" borderId="0" xfId="0" applyFont="1" applyProtection="1"/>
    <xf numFmtId="1" fontId="20" fillId="0" borderId="0" xfId="0" applyNumberFormat="1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2" fontId="0" fillId="7" borderId="1" xfId="0" applyNumberFormat="1" applyFill="1" applyBorder="1" applyProtection="1"/>
    <xf numFmtId="164" fontId="0" fillId="7" borderId="1" xfId="0" applyNumberFormat="1" applyFill="1" applyBorder="1" applyProtection="1"/>
    <xf numFmtId="164" fontId="0" fillId="0" borderId="0" xfId="0" applyNumberFormat="1" applyProtection="1"/>
    <xf numFmtId="10" fontId="0" fillId="6" borderId="1" xfId="1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166" fontId="0" fillId="0" borderId="0" xfId="0" applyNumberFormat="1" applyProtection="1"/>
    <xf numFmtId="164" fontId="0" fillId="7" borderId="1" xfId="0" applyNumberFormat="1" applyFill="1" applyBorder="1" applyAlignment="1" applyProtection="1">
      <alignment horizontal="right"/>
    </xf>
    <xf numFmtId="0" fontId="0" fillId="0" borderId="0" xfId="0" applyFill="1" applyProtection="1"/>
    <xf numFmtId="164" fontId="0" fillId="0" borderId="0" xfId="0" applyNumberFormat="1" applyFill="1" applyProtection="1"/>
    <xf numFmtId="0" fontId="16" fillId="0" borderId="8" xfId="0" applyFont="1" applyFill="1" applyBorder="1" applyAlignment="1" applyProtection="1"/>
    <xf numFmtId="0" fontId="17" fillId="4" borderId="18" xfId="0" applyFont="1" applyFill="1" applyBorder="1" applyAlignment="1" applyProtection="1">
      <alignment horizontal="center"/>
    </xf>
    <xf numFmtId="1" fontId="17" fillId="4" borderId="19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center"/>
    </xf>
    <xf numFmtId="0" fontId="16" fillId="0" borderId="21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0" fillId="0" borderId="0" xfId="0" quotePrefix="1" applyProtection="1"/>
    <xf numFmtId="0" fontId="0" fillId="0" borderId="1" xfId="0" applyBorder="1" applyProtection="1"/>
    <xf numFmtId="0" fontId="15" fillId="0" borderId="0" xfId="0" applyFont="1" applyProtection="1"/>
    <xf numFmtId="0" fontId="13" fillId="0" borderId="0" xfId="0" applyFont="1"/>
    <xf numFmtId="0" fontId="13" fillId="0" borderId="0" xfId="0" applyFont="1" applyProtection="1"/>
    <xf numFmtId="0" fontId="13" fillId="0" borderId="0" xfId="2" applyFont="1" applyProtection="1"/>
    <xf numFmtId="0" fontId="35" fillId="0" borderId="0" xfId="2" applyFont="1" applyProtection="1"/>
    <xf numFmtId="0" fontId="13" fillId="0" borderId="0" xfId="2" applyProtection="1"/>
    <xf numFmtId="0" fontId="35" fillId="0" borderId="0" xfId="2" applyFont="1" applyProtection="1"/>
    <xf numFmtId="0" fontId="38" fillId="0" borderId="0" xfId="0" applyFont="1" applyProtection="1"/>
    <xf numFmtId="0" fontId="12" fillId="0" borderId="0" xfId="0" applyFont="1" applyProtection="1"/>
    <xf numFmtId="0" fontId="39" fillId="0" borderId="0" xfId="0" applyFont="1" applyProtection="1"/>
    <xf numFmtId="168" fontId="0" fillId="0" borderId="0" xfId="0" applyNumberFormat="1" applyProtection="1"/>
    <xf numFmtId="0" fontId="12" fillId="0" borderId="0" xfId="0" quotePrefix="1" applyFont="1" applyProtection="1"/>
    <xf numFmtId="0" fontId="11" fillId="0" borderId="0" xfId="0" applyFont="1" applyProtection="1"/>
    <xf numFmtId="0" fontId="10" fillId="0" borderId="0" xfId="0" applyFont="1" applyProtection="1"/>
    <xf numFmtId="0" fontId="41" fillId="0" borderId="0" xfId="0" applyFont="1" applyProtection="1"/>
    <xf numFmtId="169" fontId="0" fillId="0" borderId="0" xfId="0" applyNumberFormat="1" applyProtection="1"/>
    <xf numFmtId="0" fontId="9" fillId="0" borderId="0" xfId="0" applyFont="1" applyProtection="1"/>
    <xf numFmtId="0" fontId="9" fillId="0" borderId="0" xfId="0" quotePrefix="1" applyFont="1" applyProtection="1"/>
    <xf numFmtId="0" fontId="8" fillId="0" borderId="0" xfId="0" applyFont="1" applyProtection="1"/>
    <xf numFmtId="0" fontId="7" fillId="0" borderId="0" xfId="0" applyFont="1" applyProtection="1"/>
    <xf numFmtId="0" fontId="45" fillId="0" borderId="0" xfId="0" applyFont="1"/>
    <xf numFmtId="0" fontId="39" fillId="0" borderId="0" xfId="0" applyFont="1"/>
    <xf numFmtId="164" fontId="39" fillId="0" borderId="0" xfId="0" applyNumberFormat="1" applyFont="1"/>
    <xf numFmtId="0" fontId="46" fillId="0" borderId="0" xfId="0" applyFont="1" applyProtection="1">
      <protection locked="0"/>
    </xf>
    <xf numFmtId="0" fontId="39" fillId="6" borderId="1" xfId="0" applyFont="1" applyFill="1" applyBorder="1" applyProtection="1">
      <protection locked="0"/>
    </xf>
    <xf numFmtId="0" fontId="6" fillId="0" borderId="0" xfId="0" applyFont="1"/>
    <xf numFmtId="164" fontId="0" fillId="0" borderId="0" xfId="0" applyNumberFormat="1" applyBorder="1"/>
    <xf numFmtId="170" fontId="33" fillId="0" borderId="0" xfId="0" applyNumberFormat="1" applyFont="1"/>
    <xf numFmtId="9" fontId="39" fillId="0" borderId="0" xfId="1" applyFont="1" applyFill="1" applyBorder="1"/>
    <xf numFmtId="1" fontId="39" fillId="0" borderId="0" xfId="0" applyNumberFormat="1" applyFont="1" applyFill="1" applyBorder="1"/>
    <xf numFmtId="2" fontId="0" fillId="0" borderId="0" xfId="0" applyNumberFormat="1" applyBorder="1"/>
    <xf numFmtId="164" fontId="39" fillId="0" borderId="0" xfId="0" applyNumberFormat="1" applyFont="1" applyFill="1" applyBorder="1"/>
    <xf numFmtId="0" fontId="35" fillId="0" borderId="0" xfId="0" applyFont="1"/>
    <xf numFmtId="0" fontId="5" fillId="0" borderId="0" xfId="0" applyFont="1"/>
    <xf numFmtId="0" fontId="15" fillId="0" borderId="0" xfId="0" applyFont="1"/>
    <xf numFmtId="0" fontId="5" fillId="0" borderId="0" xfId="0" applyFont="1" applyProtection="1"/>
    <xf numFmtId="0" fontId="4" fillId="0" borderId="0" xfId="0" applyFont="1"/>
    <xf numFmtId="0" fontId="3" fillId="0" borderId="0" xfId="0" applyFont="1"/>
    <xf numFmtId="0" fontId="3" fillId="0" borderId="0" xfId="0" applyFont="1" applyProtection="1"/>
    <xf numFmtId="0" fontId="2" fillId="0" borderId="0" xfId="0" applyFont="1" applyProtection="1"/>
    <xf numFmtId="15" fontId="16" fillId="0" borderId="0" xfId="0" applyNumberFormat="1" applyFont="1" applyFill="1" applyAlignment="1" applyProtection="1">
      <alignment wrapText="1"/>
    </xf>
    <xf numFmtId="0" fontId="16" fillId="0" borderId="0" xfId="0" applyFont="1" applyFill="1" applyAlignment="1" applyProtection="1">
      <alignment wrapText="1"/>
    </xf>
    <xf numFmtId="0" fontId="17" fillId="0" borderId="10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/>
    <xf numFmtId="0" fontId="16" fillId="0" borderId="12" xfId="0" applyFont="1" applyFill="1" applyBorder="1" applyAlignment="1" applyProtection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 panose="020B0604020202020204"/>
                <a:cs typeface="Arial" panose="020B0604020202020204"/>
              </a:rPr>
              <a:t>Arc Flash Protection Boundary</a:t>
            </a:r>
          </a:p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 panose="020B0604020202020204"/>
                <a:cs typeface="Arial" panose="020B0604020202020204"/>
              </a:rPr>
              <a:t>Onset of second degree burn</a:t>
            </a:r>
          </a:p>
        </c:rich>
      </c:tx>
      <c:layout>
        <c:manualLayout>
          <c:xMode val="edge"/>
          <c:yMode val="edge"/>
          <c:x val="0.32333767926988299"/>
          <c:y val="4.5685279187817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724902216399"/>
          <c:y val="0.16751160710010499"/>
          <c:w val="0.81877444589309001"/>
          <c:h val="0.66497544338842796"/>
        </c:manualLayout>
      </c:layout>
      <c:scatterChart>
        <c:scatterStyle val="lineMarker"/>
        <c:varyColors val="0"/>
        <c:ser>
          <c:idx val="0"/>
          <c:order val="0"/>
          <c:tx>
            <c:v>E [J]</c:v>
          </c:tx>
          <c:spPr>
            <a:ln w="25400" cap="rnd" cmpd="sng" algn="ctr">
              <a:solidFill>
                <a:srgbClr val="00FF00"/>
              </a:solidFill>
              <a:prstDash val="solid"/>
              <a:round/>
            </a:ln>
          </c:spPr>
          <c:marker>
            <c:symbol val="diamond"/>
            <c:size val="7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xVal>
            <c:numLit>
              <c:formatCode>General</c:formatCode>
              <c:ptCount val="8"/>
              <c:pt idx="0">
                <c:v>1</c:v>
              </c:pt>
              <c:pt idx="1">
                <c:v>6</c:v>
              </c:pt>
              <c:pt idx="2">
                <c:v>12</c:v>
              </c:pt>
              <c:pt idx="3">
                <c:v>18</c:v>
              </c:pt>
              <c:pt idx="4">
                <c:v>36</c:v>
              </c:pt>
              <c:pt idx="5">
                <c:v>72</c:v>
              </c:pt>
              <c:pt idx="6">
                <c:v>96</c:v>
              </c:pt>
              <c:pt idx="7">
                <c:v>115.41791619769199</c:v>
              </c:pt>
            </c:numLit>
          </c:xVal>
          <c:yVal>
            <c:numRef>
              <c:f>'Cap 2'!$E$7:$E$14</c:f>
              <c:numCache>
                <c:formatCode>0</c:formatCode>
                <c:ptCount val="8"/>
                <c:pt idx="0">
                  <c:v>20</c:v>
                </c:pt>
                <c:pt idx="1">
                  <c:v>720</c:v>
                </c:pt>
                <c:pt idx="2">
                  <c:v>2880</c:v>
                </c:pt>
                <c:pt idx="3">
                  <c:v>6480</c:v>
                </c:pt>
                <c:pt idx="4">
                  <c:v>25920</c:v>
                </c:pt>
                <c:pt idx="5">
                  <c:v>103680</c:v>
                </c:pt>
                <c:pt idx="6">
                  <c:v>184320</c:v>
                </c:pt>
                <c:pt idx="7">
                  <c:v>266425.90758834901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66-4DED-B7FC-C915C92A30AE}"/>
            </c:ext>
          </c:extLst>
        </c:ser>
        <c:ser>
          <c:idx val="1"/>
          <c:order val="1"/>
          <c:tx>
            <c:v>Working Dw</c:v>
          </c:tx>
          <c:marker>
            <c:symbol val="x"/>
            <c:size val="16"/>
            <c:spPr>
              <a:solidFill>
                <a:srgbClr val="FF0000"/>
              </a:solidFill>
            </c:spPr>
          </c:marker>
          <c:dPt>
            <c:idx val="0"/>
            <c:marker>
              <c:symbol val="circl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1-8C66-4DED-B7FC-C915C92A30AE}"/>
              </c:ext>
            </c:extLst>
          </c:dPt>
          <c:xVal>
            <c:numRef>
              <c:f>'Cap 2'!$C$15</c:f>
              <c:numCache>
                <c:formatCode>0</c:formatCode>
                <c:ptCount val="1"/>
                <c:pt idx="0">
                  <c:v>36.220472440944881</c:v>
                </c:pt>
              </c:numCache>
            </c:numRef>
          </c:xVal>
          <c:yVal>
            <c:numRef>
              <c:f>'Cap 2'!$E$15</c:f>
              <c:numCache>
                <c:formatCode>0</c:formatCode>
                <c:ptCount val="1"/>
                <c:pt idx="0">
                  <c:v>200000.00000000003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66-4DED-B7FC-C915C92A3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64272"/>
        <c:axId val="258890640"/>
      </c:scatterChart>
      <c:valAx>
        <c:axId val="174264272"/>
        <c:scaling>
          <c:orientation val="minMax"/>
          <c:max val="116"/>
          <c:min val="0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875" b="1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r>
                  <a:rPr lang="en-US"/>
                  <a:t>Working Distance [inches]</a:t>
                </a:r>
              </a:p>
            </c:rich>
          </c:tx>
          <c:layout>
            <c:manualLayout>
              <c:xMode val="edge"/>
              <c:yMode val="edge"/>
              <c:x val="0.45632333767927002"/>
              <c:y val="0.90609243641499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258890640"/>
        <c:crosses val="autoZero"/>
        <c:crossBetween val="midCat"/>
        <c:majorUnit val="18"/>
      </c:valAx>
      <c:valAx>
        <c:axId val="258890640"/>
        <c:scaling>
          <c:logBase val="10"/>
          <c:orientation val="minMax"/>
          <c:max val="10000000"/>
          <c:min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US" sz="875" b="1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r>
                  <a:rPr lang="en-US"/>
                  <a:t>Stored Energy [J]</a:t>
                </a:r>
              </a:p>
            </c:rich>
          </c:tx>
          <c:layout>
            <c:manualLayout>
              <c:xMode val="edge"/>
              <c:yMode val="edge"/>
              <c:x val="2.2164276401564501E-2"/>
              <c:y val="0.36802083749683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7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17426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7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Radio" firstButton="1" fmlaLink="$B$18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Radio" firstButton="1" fmlaLink="$B$18" noThreeD="1"/>
</file>

<file path=xl/ctrlProps/ctrlProp12.xml><?xml version="1.0" encoding="utf-8"?>
<formControlPr xmlns="http://schemas.microsoft.com/office/spreadsheetml/2009/9/main" objectType="Radio" checked="Checked" noThreeD="1"/>
</file>

<file path=xl/ctrlProps/ctrlProp13.xml><?xml version="1.0" encoding="utf-8"?>
<formControlPr xmlns="http://schemas.microsoft.com/office/spreadsheetml/2009/9/main" objectType="Radio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noThreeD="1"/>
</file>

<file path=xl/ctrlProps/ctrlProp16.xml><?xml version="1.0" encoding="utf-8"?>
<formControlPr xmlns="http://schemas.microsoft.com/office/spreadsheetml/2009/9/main" objectType="Radio" checked="Checked" firstButton="1" fmlaLink="$B$18" noThreeD="1"/>
</file>

<file path=xl/ctrlProps/ctrlProp17.xml><?xml version="1.0" encoding="utf-8"?>
<formControlPr xmlns="http://schemas.microsoft.com/office/spreadsheetml/2009/9/main" objectType="Radio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Radio" checked="Checked" firstButton="1" fmlaLink="$B$18" noThreeD="1"/>
</file>

<file path=xl/ctrlProps/ctrlProp22.xml><?xml version="1.0" encoding="utf-8"?>
<formControlPr xmlns="http://schemas.microsoft.com/office/spreadsheetml/2009/9/main" objectType="Radio" noThreeD="1"/>
</file>

<file path=xl/ctrlProps/ctrlProp23.xml><?xml version="1.0" encoding="utf-8"?>
<formControlPr xmlns="http://schemas.microsoft.com/office/spreadsheetml/2009/9/main" objectType="Radio" noThreeD="1"/>
</file>

<file path=xl/ctrlProps/ctrlProp24.xml><?xml version="1.0" encoding="utf-8"?>
<formControlPr xmlns="http://schemas.microsoft.com/office/spreadsheetml/2009/9/main" objectType="Radio" noThreeD="1"/>
</file>

<file path=xl/ctrlProps/ctrlProp25.xml><?xml version="1.0" encoding="utf-8"?>
<formControlPr xmlns="http://schemas.microsoft.com/office/spreadsheetml/2009/9/main" objectType="Radio" noThreeD="1"/>
</file>

<file path=xl/ctrlProps/ctrlProp26.xml><?xml version="1.0" encoding="utf-8"?>
<formControlPr xmlns="http://schemas.microsoft.com/office/spreadsheetml/2009/9/main" objectType="Radio" firstButton="1" fmlaLink="$B$17" noThreeD="1"/>
</file>

<file path=xl/ctrlProps/ctrlProp27.xml><?xml version="1.0" encoding="utf-8"?>
<formControlPr xmlns="http://schemas.microsoft.com/office/spreadsheetml/2009/9/main" objectType="Radio" noThreeD="1"/>
</file>

<file path=xl/ctrlProps/ctrlProp28.xml><?xml version="1.0" encoding="utf-8"?>
<formControlPr xmlns="http://schemas.microsoft.com/office/spreadsheetml/2009/9/main" objectType="Radio" noThreeD="1"/>
</file>

<file path=xl/ctrlProps/ctrlProp29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Radio" noThreeD="1"/>
</file>

<file path=xl/ctrlProps/ctrlProp30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checked="Checked" firstButton="1" fmlaLink="$B$15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16</xdr:row>
          <xdr:rowOff>182880</xdr:rowOff>
        </xdr:from>
        <xdr:to>
          <xdr:col>3</xdr:col>
          <xdr:colOff>228600</xdr:colOff>
          <xdr:row>18</xdr:row>
          <xdr:rowOff>7620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7620</xdr:rowOff>
        </xdr:from>
        <xdr:to>
          <xdr:col>4</xdr:col>
          <xdr:colOff>457200</xdr:colOff>
          <xdr:row>19</xdr:row>
          <xdr:rowOff>7620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NFPA 70E 2015 D.5.1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19</xdr:row>
          <xdr:rowOff>7620</xdr:rowOff>
        </xdr:from>
        <xdr:to>
          <xdr:col>8</xdr:col>
          <xdr:colOff>426720</xdr:colOff>
          <xdr:row>20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Large Switchgear (MV) (1143mm x 762mm x 762mm)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22860</xdr:rowOff>
        </xdr:from>
        <xdr:to>
          <xdr:col>8</xdr:col>
          <xdr:colOff>365760</xdr:colOff>
          <xdr:row>21</xdr:row>
          <xdr:rowOff>30480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Medium Switchgear (LV) (508mm x 508mm x 508mm)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21</xdr:row>
          <xdr:rowOff>30480</xdr:rowOff>
        </xdr:from>
        <xdr:to>
          <xdr:col>8</xdr:col>
          <xdr:colOff>99060</xdr:colOff>
          <xdr:row>22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Small Panel (LV)  (305mm x 356mm x 191mm)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13</xdr:row>
          <xdr:rowOff>182880</xdr:rowOff>
        </xdr:from>
        <xdr:to>
          <xdr:col>3</xdr:col>
          <xdr:colOff>228600</xdr:colOff>
          <xdr:row>15</xdr:row>
          <xdr:rowOff>7620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15</xdr:row>
          <xdr:rowOff>7620</xdr:rowOff>
        </xdr:from>
        <xdr:to>
          <xdr:col>4</xdr:col>
          <xdr:colOff>457200</xdr:colOff>
          <xdr:row>16</xdr:row>
          <xdr:rowOff>7620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NFPA 70E 2015 D.5.1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16</xdr:row>
          <xdr:rowOff>7620</xdr:rowOff>
        </xdr:from>
        <xdr:to>
          <xdr:col>8</xdr:col>
          <xdr:colOff>594360</xdr:colOff>
          <xdr:row>17</xdr:row>
          <xdr:rowOff>22860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Large Switchgear (MV) (1143mm x 762mm x 762mm)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17</xdr:row>
          <xdr:rowOff>7620</xdr:rowOff>
        </xdr:from>
        <xdr:to>
          <xdr:col>8</xdr:col>
          <xdr:colOff>304800</xdr:colOff>
          <xdr:row>18</xdr:row>
          <xdr:rowOff>22860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Medium Switchgear (LV) (508mm x 508mm x 508mm)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7620</xdr:rowOff>
        </xdr:from>
        <xdr:to>
          <xdr:col>8</xdr:col>
          <xdr:colOff>190500</xdr:colOff>
          <xdr:row>19</xdr:row>
          <xdr:rowOff>22860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Small Panel (LV)  (305mm x 356mm x 191mm)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16</xdr:row>
          <xdr:rowOff>182880</xdr:rowOff>
        </xdr:from>
        <xdr:to>
          <xdr:col>2</xdr:col>
          <xdr:colOff>571500</xdr:colOff>
          <xdr:row>18</xdr:row>
          <xdr:rowOff>7620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7620</xdr:rowOff>
        </xdr:from>
        <xdr:to>
          <xdr:col>4</xdr:col>
          <xdr:colOff>198120</xdr:colOff>
          <xdr:row>19</xdr:row>
          <xdr:rowOff>7620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NFPA 70E 2015 D.5.1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19</xdr:row>
          <xdr:rowOff>7620</xdr:rowOff>
        </xdr:from>
        <xdr:to>
          <xdr:col>8</xdr:col>
          <xdr:colOff>45720</xdr:colOff>
          <xdr:row>20</xdr:row>
          <xdr:rowOff>22860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Large Switchgear (MV) (1143mm x 762mm x 762mm)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7620</xdr:rowOff>
        </xdr:from>
        <xdr:to>
          <xdr:col>7</xdr:col>
          <xdr:colOff>464820</xdr:colOff>
          <xdr:row>21</xdr:row>
          <xdr:rowOff>22860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Medium Switchgear (LV) (508mm x 508mm x 508mm)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21</xdr:row>
          <xdr:rowOff>7620</xdr:rowOff>
        </xdr:from>
        <xdr:to>
          <xdr:col>7</xdr:col>
          <xdr:colOff>251460</xdr:colOff>
          <xdr:row>22</xdr:row>
          <xdr:rowOff>22860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Small Panel (LV)  (305mm x 356mm x 191mm)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4</xdr:row>
      <xdr:rowOff>114300</xdr:rowOff>
    </xdr:from>
    <xdr:to>
      <xdr:col>11</xdr:col>
      <xdr:colOff>487680</xdr:colOff>
      <xdr:row>27</xdr:row>
      <xdr:rowOff>116205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0.58714</cdr:x>
      <cdr:y>0.17344</cdr:y>
    </cdr:from>
    <cdr:to>
      <cdr:x>0.73403</cdr:x>
      <cdr:y>0.25166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289444" y="650884"/>
          <a:ext cx="1073130" cy="293548"/>
        </a:xfrm>
        <a:prstGeom xmlns:a="http://schemas.openxmlformats.org/drawingml/2006/main" prst="rect">
          <a:avLst/>
        </a:prstGeom>
        <a:solidFill xmlns:a="http://schemas.openxmlformats.org/drawingml/2006/main">
          <a:srgbClr val="FF99CC">
            <a:alpha val="50000"/>
          </a:srgbClr>
        </a:solidFill>
        <a:ln xmlns:a="http://schemas.openxmlformats.org/drawingml/2006/main" w="9525">
          <a:solidFill>
            <a:srgbClr val="FF0000"/>
          </a:solidFill>
          <a:miter lim="800000"/>
        </a:ln>
      </cdr:spPr>
      <cdr:txBody>
        <a:bodyPr xmlns:a="http://schemas.openxmlformats.org/drawingml/2006/main" wrap="square" lIns="27432" tIns="22860" rIns="27432" bIns="0" anchor="ctr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75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AR PPE Required</a:t>
          </a:r>
        </a:p>
      </cdr:txBody>
    </cdr:sp>
  </cdr:relSizeAnchor>
  <cdr:relSizeAnchor xmlns:cdr="http://schemas.openxmlformats.org/drawingml/2006/chartDrawing">
    <cdr:from>
      <cdr:x>0.55193</cdr:x>
      <cdr:y>0.70897</cdr:y>
    </cdr:from>
    <cdr:to>
      <cdr:x>0.74315</cdr:x>
      <cdr:y>0.78719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032247" y="2660663"/>
          <a:ext cx="1396991" cy="293548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>
            <a:alpha val="50000"/>
          </a:srgbClr>
        </a:solidFill>
        <a:ln xmlns:a="http://schemas.openxmlformats.org/drawingml/2006/main" w="9525">
          <a:solidFill>
            <a:srgbClr val="00B050"/>
          </a:solidFill>
          <a:miter lim="800000"/>
        </a:ln>
      </cdr:spPr>
      <cdr:txBody>
        <a:bodyPr xmlns:a="http://schemas.openxmlformats.org/drawingml/2006/main" wrap="square" lIns="27432" tIns="22860" rIns="27432" bIns="0" anchor="ctr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75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No AR PPE Required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16</xdr:row>
          <xdr:rowOff>182880</xdr:rowOff>
        </xdr:from>
        <xdr:to>
          <xdr:col>2</xdr:col>
          <xdr:colOff>556260</xdr:colOff>
          <xdr:row>18</xdr:row>
          <xdr:rowOff>7620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7620</xdr:rowOff>
        </xdr:from>
        <xdr:to>
          <xdr:col>4</xdr:col>
          <xdr:colOff>175260</xdr:colOff>
          <xdr:row>19</xdr:row>
          <xdr:rowOff>7620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NFPA 70E 2015 D.5.1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19</xdr:row>
          <xdr:rowOff>7620</xdr:rowOff>
        </xdr:from>
        <xdr:to>
          <xdr:col>7</xdr:col>
          <xdr:colOff>579120</xdr:colOff>
          <xdr:row>20</xdr:row>
          <xdr:rowOff>22860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Large Switchgear (MV) (1143mm x 762mm x 762mm)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7620</xdr:rowOff>
        </xdr:from>
        <xdr:to>
          <xdr:col>7</xdr:col>
          <xdr:colOff>403860</xdr:colOff>
          <xdr:row>21</xdr:row>
          <xdr:rowOff>22860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Medium Switchgear (LV) (508mm x 508mm x 508mm)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21</xdr:row>
          <xdr:rowOff>7620</xdr:rowOff>
        </xdr:from>
        <xdr:to>
          <xdr:col>7</xdr:col>
          <xdr:colOff>190500</xdr:colOff>
          <xdr:row>22</xdr:row>
          <xdr:rowOff>22860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Small Panel (LV)  (305mm x 356mm x 191mm)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16</xdr:row>
          <xdr:rowOff>182880</xdr:rowOff>
        </xdr:from>
        <xdr:to>
          <xdr:col>2</xdr:col>
          <xdr:colOff>563880</xdr:colOff>
          <xdr:row>18</xdr:row>
          <xdr:rowOff>7620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7620</xdr:rowOff>
        </xdr:from>
        <xdr:to>
          <xdr:col>4</xdr:col>
          <xdr:colOff>182880</xdr:colOff>
          <xdr:row>19</xdr:row>
          <xdr:rowOff>7620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NFPA 70E 2015 D.5.1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19</xdr:row>
          <xdr:rowOff>7620</xdr:rowOff>
        </xdr:from>
        <xdr:to>
          <xdr:col>7</xdr:col>
          <xdr:colOff>586740</xdr:colOff>
          <xdr:row>20</xdr:row>
          <xdr:rowOff>22860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Large Switchgear (MV) (1143mm x 762mm x 762mm)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7620</xdr:rowOff>
        </xdr:from>
        <xdr:to>
          <xdr:col>7</xdr:col>
          <xdr:colOff>411480</xdr:colOff>
          <xdr:row>21</xdr:row>
          <xdr:rowOff>22860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Medium Switchgear (LV) (508mm x 508mm x 508mm)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21</xdr:row>
          <xdr:rowOff>7620</xdr:rowOff>
        </xdr:from>
        <xdr:to>
          <xdr:col>7</xdr:col>
          <xdr:colOff>198120</xdr:colOff>
          <xdr:row>22</xdr:row>
          <xdr:rowOff>22860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Small Panel (LV)  (305mm x 356mm x 191mm)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15</xdr:row>
          <xdr:rowOff>182880</xdr:rowOff>
        </xdr:from>
        <xdr:to>
          <xdr:col>3</xdr:col>
          <xdr:colOff>266700</xdr:colOff>
          <xdr:row>17</xdr:row>
          <xdr:rowOff>15240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17</xdr:row>
          <xdr:rowOff>15240</xdr:rowOff>
        </xdr:from>
        <xdr:to>
          <xdr:col>4</xdr:col>
          <xdr:colOff>518160</xdr:colOff>
          <xdr:row>18</xdr:row>
          <xdr:rowOff>15240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NFPA 70E 2015 D.5.1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18</xdr:row>
          <xdr:rowOff>15240</xdr:rowOff>
        </xdr:from>
        <xdr:to>
          <xdr:col>32</xdr:col>
          <xdr:colOff>60960</xdr:colOff>
          <xdr:row>19</xdr:row>
          <xdr:rowOff>22860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Large Switchgear (MV) (1143mm x 762mm x 762mm)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19</xdr:row>
          <xdr:rowOff>15240</xdr:rowOff>
        </xdr:from>
        <xdr:to>
          <xdr:col>8</xdr:col>
          <xdr:colOff>441960</xdr:colOff>
          <xdr:row>20</xdr:row>
          <xdr:rowOff>22860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Medium Switchgear (LV) (508mm x 508mm x 508mm)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20</xdr:row>
          <xdr:rowOff>15240</xdr:rowOff>
        </xdr:from>
        <xdr:to>
          <xdr:col>8</xdr:col>
          <xdr:colOff>327660</xdr:colOff>
          <xdr:row>21</xdr:row>
          <xdr:rowOff>22860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Box - Wilkins - Small Panel (LV)  (305mm x 356mm x 191mm)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5"/>
  <sheetViews>
    <sheetView tabSelected="1" zoomScaleNormal="100" workbookViewId="0">
      <selection activeCell="B29" sqref="B29"/>
    </sheetView>
  </sheetViews>
  <sheetFormatPr defaultColWidth="9" defaultRowHeight="14.4"/>
  <cols>
    <col min="1" max="8" width="9" style="70"/>
    <col min="9" max="9" width="9" style="70" customWidth="1"/>
    <col min="10" max="10" width="5.21875" style="70" hidden="1" customWidth="1"/>
    <col min="11" max="31" width="5.5546875" style="70" hidden="1" customWidth="1"/>
    <col min="32" max="32" width="9.109375" style="70" hidden="1" customWidth="1"/>
    <col min="33" max="34" width="9" style="70" hidden="1" customWidth="1"/>
    <col min="35" max="16384" width="9" style="70"/>
  </cols>
  <sheetData>
    <row r="1" spans="1:1" ht="21">
      <c r="A1" s="69" t="s">
        <v>0</v>
      </c>
    </row>
    <row r="2" spans="1:1">
      <c r="A2" s="71" t="s">
        <v>1</v>
      </c>
    </row>
    <row r="4" spans="1:1">
      <c r="A4" s="70" t="s">
        <v>2</v>
      </c>
    </row>
    <row r="5" spans="1:1">
      <c r="A5" s="70" t="s">
        <v>3</v>
      </c>
    </row>
    <row r="6" spans="1:1">
      <c r="A6" s="70" t="s">
        <v>4</v>
      </c>
    </row>
    <row r="7" spans="1:1">
      <c r="A7" s="70" t="s">
        <v>5</v>
      </c>
    </row>
    <row r="8" spans="1:1">
      <c r="A8" s="70" t="s">
        <v>6</v>
      </c>
    </row>
    <row r="9" spans="1:1">
      <c r="A9" s="70" t="s">
        <v>7</v>
      </c>
    </row>
    <row r="10" spans="1:1">
      <c r="A10" s="70" t="s">
        <v>8</v>
      </c>
    </row>
    <row r="12" spans="1:1">
      <c r="A12" s="71" t="s">
        <v>9</v>
      </c>
    </row>
    <row r="13" spans="1:1">
      <c r="A13" s="71" t="s">
        <v>10</v>
      </c>
    </row>
    <row r="14" spans="1:1">
      <c r="A14" s="71" t="s">
        <v>11</v>
      </c>
    </row>
    <row r="15" spans="1:1">
      <c r="A15" s="71" t="s">
        <v>12</v>
      </c>
    </row>
    <row r="16" spans="1:1">
      <c r="A16" s="71" t="s">
        <v>13</v>
      </c>
    </row>
    <row r="17" spans="1:4">
      <c r="A17" s="71"/>
    </row>
    <row r="18" spans="1:4">
      <c r="A18" s="71"/>
      <c r="B18" s="42">
        <v>4</v>
      </c>
    </row>
    <row r="19" spans="1:4">
      <c r="A19" s="71"/>
    </row>
    <row r="20" spans="1:4">
      <c r="A20" s="71"/>
    </row>
    <row r="21" spans="1:4">
      <c r="A21" s="71"/>
    </row>
    <row r="22" spans="1:4">
      <c r="A22" s="71"/>
    </row>
    <row r="24" spans="1:4">
      <c r="A24" s="72" t="s">
        <v>14</v>
      </c>
      <c r="B24" s="43">
        <v>550</v>
      </c>
      <c r="C24" s="70" t="s">
        <v>15</v>
      </c>
      <c r="D24" s="70" t="s">
        <v>16</v>
      </c>
    </row>
    <row r="25" spans="1:4">
      <c r="A25" s="73" t="s">
        <v>164</v>
      </c>
      <c r="B25" s="43">
        <v>3000</v>
      </c>
      <c r="C25" s="70" t="s">
        <v>18</v>
      </c>
      <c r="D25" s="70" t="s">
        <v>165</v>
      </c>
    </row>
    <row r="26" spans="1:4">
      <c r="A26" s="73" t="s">
        <v>166</v>
      </c>
      <c r="B26" s="43">
        <v>1</v>
      </c>
      <c r="D26" s="70" t="s">
        <v>167</v>
      </c>
    </row>
    <row r="27" spans="1:4" ht="15.6">
      <c r="A27" s="74" t="s">
        <v>168</v>
      </c>
      <c r="B27" s="43">
        <v>2E-3</v>
      </c>
      <c r="C27" s="75" t="s">
        <v>67</v>
      </c>
      <c r="D27" s="76" t="s">
        <v>169</v>
      </c>
    </row>
    <row r="28" spans="1:4">
      <c r="A28" s="74" t="s">
        <v>170</v>
      </c>
      <c r="B28" s="77">
        <f>B26*B24/(B24/B25+B27)</f>
        <v>2967.6258992805756</v>
      </c>
      <c r="C28" s="70" t="s">
        <v>18</v>
      </c>
      <c r="D28" s="76" t="s">
        <v>19</v>
      </c>
    </row>
    <row r="29" spans="1:4">
      <c r="A29" s="70" t="s">
        <v>20</v>
      </c>
      <c r="B29" s="78">
        <f>B28/2</f>
        <v>1483.8129496402878</v>
      </c>
      <c r="C29" s="70" t="s">
        <v>18</v>
      </c>
      <c r="D29" s="70" t="s">
        <v>21</v>
      </c>
    </row>
    <row r="30" spans="1:4">
      <c r="A30" s="70" t="s">
        <v>22</v>
      </c>
      <c r="B30" s="43">
        <v>2</v>
      </c>
      <c r="C30" s="70" t="s">
        <v>23</v>
      </c>
      <c r="D30" s="70" t="s">
        <v>24</v>
      </c>
    </row>
    <row r="31" spans="1:4">
      <c r="A31" s="70" t="s">
        <v>25</v>
      </c>
      <c r="B31" s="43">
        <v>45.5</v>
      </c>
      <c r="C31" s="70" t="s">
        <v>26</v>
      </c>
      <c r="D31" s="70" t="s">
        <v>27</v>
      </c>
    </row>
    <row r="32" spans="1:4">
      <c r="B32" s="78">
        <f>B31/2.54</f>
        <v>17.913385826771652</v>
      </c>
      <c r="C32" s="70" t="s">
        <v>28</v>
      </c>
    </row>
    <row r="33" spans="1:31">
      <c r="A33" s="70" t="s">
        <v>29</v>
      </c>
      <c r="B33" s="79">
        <f>IF(CHOOSE(B18,1,3,5.22761/(1+(95/B31)^2),3.9207/(1+(40/B31)^2),1.59593/(1+(10/B31)^2))&lt;1,1,CHOOSE(B18,1,3,5.22761/(1+(95/B31)^2),3.9207/(1+(40/B31)^2),1.59593/(1+(10/B31)^2)))</f>
        <v>2.2115194264695863</v>
      </c>
      <c r="D33" s="70" t="s">
        <v>30</v>
      </c>
    </row>
    <row r="34" spans="1:31">
      <c r="A34" s="70" t="s">
        <v>31</v>
      </c>
      <c r="B34" s="79">
        <f>AE34</f>
        <v>3.8030669421487602</v>
      </c>
      <c r="D34" s="70" t="s">
        <v>32</v>
      </c>
      <c r="J34" s="70" t="s">
        <v>31</v>
      </c>
      <c r="K34" s="79">
        <f>B33</f>
        <v>2.2115194264695863</v>
      </c>
      <c r="L34" s="79">
        <f>IF(CHOOSE($B$18,1,3,5.22761/(1+(95/K36)^2),3.9207/(1+(40/K36)^2),1.59593/(1+(10/K36)^2))&lt;1,1,CHOOSE($B$18,1,3,5.22761/(1+(95/K36)^2),3.9207/(1+(40/K36)^2),1.59593/(1+(10/K36)^2)))</f>
        <v>3.7226863735749181</v>
      </c>
      <c r="M34" s="79">
        <f t="shared" ref="M34:AE34" si="0">IF(CHOOSE($B$18,1,3,5.22761/(1+(95/L36)^2),3.9207/(1+(40/L36)^2),1.59593/(1+(10/L36)^2))&lt;1,1,CHOOSE($B$18,1,3,5.22761/(1+(95/L36)^2),3.9207/(1+(40/L36)^2),1.59593/(1+(10/L36)^2)))</f>
        <v>3.8006048000686548</v>
      </c>
      <c r="N34" s="79">
        <f t="shared" si="0"/>
        <v>3.8029930238946248</v>
      </c>
      <c r="O34" s="79">
        <f t="shared" si="0"/>
        <v>3.8030647243319922</v>
      </c>
      <c r="P34" s="79">
        <f t="shared" si="0"/>
        <v>3.8030668756073993</v>
      </c>
      <c r="Q34" s="79">
        <f t="shared" si="0"/>
        <v>3.8030669401523149</v>
      </c>
      <c r="R34" s="79">
        <f t="shared" si="0"/>
        <v>3.803066942088861</v>
      </c>
      <c r="S34" s="79">
        <f t="shared" si="0"/>
        <v>3.8030669421469634</v>
      </c>
      <c r="T34" s="79">
        <f t="shared" si="0"/>
        <v>3.8030669421487064</v>
      </c>
      <c r="U34" s="79">
        <f t="shared" si="0"/>
        <v>3.8030669421487588</v>
      </c>
      <c r="V34" s="79">
        <f t="shared" si="0"/>
        <v>3.8030669421487602</v>
      </c>
      <c r="W34" s="79">
        <f t="shared" si="0"/>
        <v>3.8030669421487602</v>
      </c>
      <c r="X34" s="79">
        <f t="shared" si="0"/>
        <v>3.8030669421487602</v>
      </c>
      <c r="Y34" s="79">
        <f t="shared" si="0"/>
        <v>3.8030669421487602</v>
      </c>
      <c r="Z34" s="79">
        <f t="shared" si="0"/>
        <v>3.8030669421487602</v>
      </c>
      <c r="AA34" s="79">
        <f t="shared" si="0"/>
        <v>3.8030669421487602</v>
      </c>
      <c r="AB34" s="79">
        <f t="shared" si="0"/>
        <v>3.8030669421487602</v>
      </c>
      <c r="AC34" s="79">
        <f t="shared" si="0"/>
        <v>3.8030669421487602</v>
      </c>
      <c r="AD34" s="79">
        <f t="shared" si="0"/>
        <v>3.8030669421487602</v>
      </c>
      <c r="AE34" s="79">
        <f t="shared" si="0"/>
        <v>3.8030669421487602</v>
      </c>
    </row>
    <row r="35" spans="1:31" ht="16.2">
      <c r="A35" s="70" t="s">
        <v>33</v>
      </c>
      <c r="B35" s="80">
        <f>0.01*B24*B29*B30/B31^2*B33</f>
        <v>17.435716844411534</v>
      </c>
      <c r="C35" s="70" t="s">
        <v>34</v>
      </c>
      <c r="J35" s="70" t="s">
        <v>33</v>
      </c>
      <c r="K35" s="79">
        <f>B35</f>
        <v>17.435716844411534</v>
      </c>
      <c r="L35" s="79">
        <f t="shared" ref="L35:AE35" si="1">K35/K34*L34</f>
        <v>29.349823805897334</v>
      </c>
      <c r="M35" s="79">
        <f t="shared" si="1"/>
        <v>29.964136122147554</v>
      </c>
      <c r="N35" s="79">
        <f t="shared" si="1"/>
        <v>29.982964984282923</v>
      </c>
      <c r="O35" s="79">
        <f t="shared" si="1"/>
        <v>29.983530273698243</v>
      </c>
      <c r="P35" s="79">
        <f t="shared" si="1"/>
        <v>29.983547234448579</v>
      </c>
      <c r="Q35" s="79">
        <f t="shared" si="1"/>
        <v>29.983547743323545</v>
      </c>
      <c r="R35" s="79">
        <f t="shared" si="1"/>
        <v>29.98354775859136</v>
      </c>
      <c r="S35" s="79">
        <f t="shared" si="1"/>
        <v>29.98354775904944</v>
      </c>
      <c r="T35" s="79">
        <f t="shared" si="1"/>
        <v>29.983547759063185</v>
      </c>
      <c r="U35" s="79">
        <f t="shared" si="1"/>
        <v>29.983547759063597</v>
      </c>
      <c r="V35" s="79">
        <f t="shared" si="1"/>
        <v>29.983547759063608</v>
      </c>
      <c r="W35" s="79">
        <f t="shared" si="1"/>
        <v>29.983547759063608</v>
      </c>
      <c r="X35" s="79">
        <f t="shared" si="1"/>
        <v>29.983547759063608</v>
      </c>
      <c r="Y35" s="79">
        <f t="shared" si="1"/>
        <v>29.983547759063608</v>
      </c>
      <c r="Z35" s="79">
        <f t="shared" si="1"/>
        <v>29.983547759063608</v>
      </c>
      <c r="AA35" s="79">
        <f t="shared" si="1"/>
        <v>29.983547759063608</v>
      </c>
      <c r="AB35" s="79">
        <f t="shared" si="1"/>
        <v>29.983547759063608</v>
      </c>
      <c r="AC35" s="79">
        <f t="shared" si="1"/>
        <v>29.983547759063608</v>
      </c>
      <c r="AD35" s="79">
        <f t="shared" si="1"/>
        <v>29.983547759063608</v>
      </c>
      <c r="AE35" s="79">
        <f t="shared" si="1"/>
        <v>29.983547759063608</v>
      </c>
    </row>
    <row r="36" spans="1:31">
      <c r="A36" s="70" t="s">
        <v>35</v>
      </c>
      <c r="B36" s="81">
        <f>AE36</f>
        <v>227.43761003148649</v>
      </c>
      <c r="C36" s="70" t="s">
        <v>26</v>
      </c>
      <c r="D36" s="81">
        <f>B36/2.54</f>
        <v>89.54236615412853</v>
      </c>
      <c r="E36" s="70" t="s">
        <v>28</v>
      </c>
      <c r="J36" s="70" t="s">
        <v>35</v>
      </c>
      <c r="K36" s="82">
        <f>B31*SQRT(B35/1.2)</f>
        <v>173.43657053118625</v>
      </c>
      <c r="L36" s="82">
        <f t="shared" ref="L36:AE36" si="2">$B$31*SQRT(L35/1.2)</f>
        <v>225.02124480101679</v>
      </c>
      <c r="M36" s="82">
        <f t="shared" si="2"/>
        <v>227.36397546459139</v>
      </c>
      <c r="N36" s="82">
        <f t="shared" si="2"/>
        <v>227.43539972688163</v>
      </c>
      <c r="O36" s="82">
        <f t="shared" si="2"/>
        <v>227.43754371461299</v>
      </c>
      <c r="P36" s="82">
        <f t="shared" si="2"/>
        <v>227.43760804177552</v>
      </c>
      <c r="Q36" s="82">
        <f t="shared" si="2"/>
        <v>227.43760997178907</v>
      </c>
      <c r="R36" s="82">
        <f t="shared" si="2"/>
        <v>227.43761002969543</v>
      </c>
      <c r="S36" s="82">
        <f t="shared" si="2"/>
        <v>227.43761003143277</v>
      </c>
      <c r="T36" s="82">
        <f t="shared" si="2"/>
        <v>227.43761003148492</v>
      </c>
      <c r="U36" s="82">
        <f t="shared" si="2"/>
        <v>227.43761003148646</v>
      </c>
      <c r="V36" s="82">
        <f t="shared" si="2"/>
        <v>227.43761003148649</v>
      </c>
      <c r="W36" s="82">
        <f t="shared" si="2"/>
        <v>227.43761003148649</v>
      </c>
      <c r="X36" s="82">
        <f t="shared" si="2"/>
        <v>227.43761003148649</v>
      </c>
      <c r="Y36" s="82">
        <f t="shared" si="2"/>
        <v>227.43761003148649</v>
      </c>
      <c r="Z36" s="82">
        <f t="shared" si="2"/>
        <v>227.43761003148649</v>
      </c>
      <c r="AA36" s="82">
        <f t="shared" si="2"/>
        <v>227.43761003148649</v>
      </c>
      <c r="AB36" s="82">
        <f t="shared" si="2"/>
        <v>227.43761003148649</v>
      </c>
      <c r="AC36" s="82">
        <f t="shared" si="2"/>
        <v>227.43761003148649</v>
      </c>
      <c r="AD36" s="82">
        <f t="shared" si="2"/>
        <v>227.43761003148649</v>
      </c>
      <c r="AE36" s="82">
        <f t="shared" si="2"/>
        <v>227.43761003148649</v>
      </c>
    </row>
    <row r="38" spans="1:31">
      <c r="A38" s="70" t="s">
        <v>36</v>
      </c>
    </row>
    <row r="39" spans="1:31">
      <c r="A39" s="70" t="s">
        <v>37</v>
      </c>
    </row>
    <row r="40" spans="1:31">
      <c r="A40" s="70" t="s">
        <v>38</v>
      </c>
    </row>
    <row r="41" spans="1:31">
      <c r="A41" s="70" t="s">
        <v>39</v>
      </c>
    </row>
    <row r="42" spans="1:31">
      <c r="A42" s="70" t="s">
        <v>40</v>
      </c>
    </row>
    <row r="43" spans="1:31">
      <c r="A43" s="70" t="s">
        <v>41</v>
      </c>
    </row>
    <row r="44" spans="1:31">
      <c r="A44" s="70" t="s">
        <v>42</v>
      </c>
    </row>
    <row r="45" spans="1:31">
      <c r="A45" s="70" t="s">
        <v>43</v>
      </c>
    </row>
  </sheetData>
  <sheetProtection algorithmName="SHA-512" hashValue="+vHc5i0yDrkgpeZjZNVcTrwt88D+UA9OzQQynPXuC4IxK+y9fJXoCET1g8qJ2WRbuH/7mQ75Nk97ECp4QEArww==" saltValue="Kxpr6wbyZCb71bs9Ow9uxg==" spinCount="100000" sheet="1" objects="1" scenarios="1"/>
  <pageMargins left="0.69930555555555596" right="0.69930555555555596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Pict="0">
                <anchor moveWithCells="1">
                  <from>
                    <xdr:col>1</xdr:col>
                    <xdr:colOff>419100</xdr:colOff>
                    <xdr:row>16</xdr:row>
                    <xdr:rowOff>182880</xdr:rowOff>
                  </from>
                  <to>
                    <xdr:col>3</xdr:col>
                    <xdr:colOff>228600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Pict="0">
                <anchor moveWithCells="1">
                  <from>
                    <xdr:col>1</xdr:col>
                    <xdr:colOff>419100</xdr:colOff>
                    <xdr:row>18</xdr:row>
                    <xdr:rowOff>7620</xdr:rowOff>
                  </from>
                  <to>
                    <xdr:col>4</xdr:col>
                    <xdr:colOff>457200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Pict="0">
                <anchor moveWithCells="1">
                  <from>
                    <xdr:col>1</xdr:col>
                    <xdr:colOff>419100</xdr:colOff>
                    <xdr:row>19</xdr:row>
                    <xdr:rowOff>7620</xdr:rowOff>
                  </from>
                  <to>
                    <xdr:col>8</xdr:col>
                    <xdr:colOff>426720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Pict="0">
                <anchor moveWithCells="1">
                  <from>
                    <xdr:col>1</xdr:col>
                    <xdr:colOff>419100</xdr:colOff>
                    <xdr:row>20</xdr:row>
                    <xdr:rowOff>22860</xdr:rowOff>
                  </from>
                  <to>
                    <xdr:col>8</xdr:col>
                    <xdr:colOff>365760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Pict="0">
                <anchor moveWithCells="1">
                  <from>
                    <xdr:col>1</xdr:col>
                    <xdr:colOff>426720</xdr:colOff>
                    <xdr:row>21</xdr:row>
                    <xdr:rowOff>30480</xdr:rowOff>
                  </from>
                  <to>
                    <xdr:col>8</xdr:col>
                    <xdr:colOff>99060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1"/>
  <sheetViews>
    <sheetView zoomScaleNormal="100" workbookViewId="0"/>
  </sheetViews>
  <sheetFormatPr defaultColWidth="9" defaultRowHeight="14.4"/>
  <cols>
    <col min="9" max="9" width="9.88671875" customWidth="1"/>
    <col min="10" max="10" width="28.44140625" hidden="1" customWidth="1"/>
    <col min="11" max="12" width="6.33203125" hidden="1" customWidth="1"/>
    <col min="13" max="31" width="4.33203125" hidden="1" customWidth="1"/>
    <col min="32" max="32" width="9.109375" hidden="1" customWidth="1"/>
    <col min="33" max="40" width="9.109375" customWidth="1"/>
  </cols>
  <sheetData>
    <row r="1" spans="1:19" ht="21">
      <c r="A1" s="45" t="s">
        <v>54</v>
      </c>
    </row>
    <row r="2" spans="1:19">
      <c r="A2" s="46" t="s">
        <v>1</v>
      </c>
    </row>
    <row r="3" spans="1:19" ht="6" customHeight="1">
      <c r="A3" s="46"/>
    </row>
    <row r="4" spans="1:19">
      <c r="A4" t="s">
        <v>55</v>
      </c>
    </row>
    <row r="5" spans="1:19">
      <c r="A5" t="s">
        <v>56</v>
      </c>
    </row>
    <row r="6" spans="1:19">
      <c r="A6" t="s">
        <v>57</v>
      </c>
    </row>
    <row r="7" spans="1:19">
      <c r="A7" t="s">
        <v>58</v>
      </c>
    </row>
    <row r="8" spans="1:19">
      <c r="A8" t="s">
        <v>7</v>
      </c>
    </row>
    <row r="9" spans="1:19">
      <c r="A9" t="s">
        <v>8</v>
      </c>
      <c r="J9" t="s">
        <v>59</v>
      </c>
    </row>
    <row r="10" spans="1:19" ht="6" customHeight="1"/>
    <row r="11" spans="1:19" s="44" customFormat="1">
      <c r="A11" s="46" t="s">
        <v>60</v>
      </c>
      <c r="J11" s="44" t="s">
        <v>44</v>
      </c>
      <c r="K11" s="44" t="s">
        <v>46</v>
      </c>
      <c r="L11" s="44" t="s">
        <v>61</v>
      </c>
      <c r="S11"/>
    </row>
    <row r="12" spans="1:19" s="44" customFormat="1">
      <c r="A12" s="46" t="s">
        <v>62</v>
      </c>
      <c r="J12" s="52">
        <f>IF(K12*L12&gt;=$B$21,$B$21-0.5*$B$29*L12,K12*L12)</f>
        <v>82.213935892228577</v>
      </c>
      <c r="K12" s="52">
        <f>B27*0.9</f>
        <v>1747.0588235294119</v>
      </c>
      <c r="L12" s="60">
        <f t="shared" ref="L12:L22" si="0">(20+0.534*$B$33)/K12^0.88</f>
        <v>4.7058481823834535E-2</v>
      </c>
      <c r="S12"/>
    </row>
    <row r="13" spans="1:19" s="44" customFormat="1">
      <c r="A13" s="46" t="s">
        <v>63</v>
      </c>
      <c r="J13" s="52">
        <f>IF(K13*L13&gt;=$B$21,$B$21-$B$29*L13,K13*L13)</f>
        <v>81.657953161076847</v>
      </c>
      <c r="K13" s="61">
        <f t="shared" ref="K13:K22" si="1">IF($B$21&lt;=J12,($B$21-J12)/10/$B$32,($B$21-J12)/$B$32)</f>
        <v>1651.0096380274285</v>
      </c>
      <c r="L13" s="60">
        <f t="shared" si="0"/>
        <v>4.9459404282242145E-2</v>
      </c>
      <c r="S13"/>
    </row>
    <row r="14" spans="1:19">
      <c r="A14" s="46"/>
      <c r="J14" s="52">
        <f>IF(K14*L14&gt;=$B$21,AVERAGE(J12:J13),K14*L14)</f>
        <v>81.669593530160057</v>
      </c>
      <c r="K14" s="61">
        <f t="shared" si="1"/>
        <v>1652.9719300197287</v>
      </c>
      <c r="L14" s="60">
        <f t="shared" si="0"/>
        <v>4.9407731641991831E-2</v>
      </c>
      <c r="M14" s="44"/>
    </row>
    <row r="15" spans="1:19">
      <c r="A15" s="46"/>
      <c r="B15" s="42">
        <v>1</v>
      </c>
      <c r="J15" s="52">
        <f t="shared" ref="J15:J22" si="2">IF(K15*L15&gt;=$B$21,AVERAGE(J13:J14),K15*L15)</f>
        <v>81.669349945468639</v>
      </c>
      <c r="K15" s="61">
        <f t="shared" si="1"/>
        <v>1652.930846364141</v>
      </c>
      <c r="L15" s="60">
        <f t="shared" si="0"/>
        <v>4.9408812307612335E-2</v>
      </c>
      <c r="M15" s="44"/>
    </row>
    <row r="16" spans="1:19">
      <c r="A16" s="46"/>
      <c r="J16" s="52">
        <f t="shared" si="2"/>
        <v>81.669355042741458</v>
      </c>
      <c r="K16" s="61">
        <f t="shared" si="1"/>
        <v>1652.9317060748167</v>
      </c>
      <c r="L16" s="60">
        <f t="shared" si="0"/>
        <v>4.940878969324148E-2</v>
      </c>
      <c r="M16" s="44"/>
    </row>
    <row r="17" spans="1:35">
      <c r="A17" s="46"/>
      <c r="J17" s="52">
        <f t="shared" si="2"/>
        <v>81.669354936075621</v>
      </c>
      <c r="K17" s="61">
        <f t="shared" si="1"/>
        <v>1652.9316880844419</v>
      </c>
      <c r="L17" s="60">
        <f t="shared" si="0"/>
        <v>4.9408790166471442E-2</v>
      </c>
      <c r="M17" s="44"/>
    </row>
    <row r="18" spans="1:35">
      <c r="A18" s="46"/>
      <c r="J18" s="52">
        <f t="shared" si="2"/>
        <v>81.669354938307592</v>
      </c>
      <c r="K18" s="61">
        <f t="shared" si="1"/>
        <v>1652.9316884609098</v>
      </c>
      <c r="L18" s="60">
        <f t="shared" si="0"/>
        <v>4.9408790156568523E-2</v>
      </c>
      <c r="M18" s="44"/>
    </row>
    <row r="19" spans="1:35">
      <c r="A19" s="46"/>
      <c r="J19" s="52">
        <f t="shared" si="2"/>
        <v>81.669354938260952</v>
      </c>
      <c r="K19" s="61">
        <f t="shared" si="1"/>
        <v>1652.9316884530319</v>
      </c>
      <c r="L19" s="60">
        <f t="shared" si="0"/>
        <v>4.9408790156775788E-2</v>
      </c>
      <c r="M19" s="44"/>
    </row>
    <row r="20" spans="1:35">
      <c r="J20" s="52">
        <f t="shared" si="2"/>
        <v>81.669354938261918</v>
      </c>
      <c r="K20" s="61">
        <f t="shared" si="1"/>
        <v>1652.9316884531968</v>
      </c>
      <c r="L20" s="60">
        <f t="shared" si="0"/>
        <v>4.9408790156771444E-2</v>
      </c>
      <c r="M20" s="44"/>
    </row>
    <row r="21" spans="1:35">
      <c r="A21" s="64" t="s">
        <v>14</v>
      </c>
      <c r="B21" s="43">
        <v>550</v>
      </c>
      <c r="C21" t="s">
        <v>15</v>
      </c>
      <c r="D21" t="s">
        <v>16</v>
      </c>
      <c r="J21" s="52">
        <f t="shared" si="2"/>
        <v>81.66935493826189</v>
      </c>
      <c r="K21" s="61">
        <f t="shared" si="1"/>
        <v>1652.9316884531934</v>
      </c>
      <c r="L21" s="60">
        <f t="shared" si="0"/>
        <v>4.9408790156771534E-2</v>
      </c>
      <c r="M21" s="44"/>
    </row>
    <row r="22" spans="1:35">
      <c r="A22" s="44" t="s">
        <v>44</v>
      </c>
      <c r="B22" s="47">
        <f>IF(J34&gt;B30,J34,"")</f>
        <v>81.66935493826189</v>
      </c>
      <c r="C22" t="s">
        <v>15</v>
      </c>
      <c r="D22" t="s">
        <v>64</v>
      </c>
      <c r="J22" s="52">
        <f t="shared" si="2"/>
        <v>81.66935493826189</v>
      </c>
      <c r="K22" s="61">
        <f t="shared" si="1"/>
        <v>1652.9316884531934</v>
      </c>
      <c r="L22" s="60">
        <f t="shared" si="0"/>
        <v>4.9408790156771534E-2</v>
      </c>
      <c r="M22" s="44"/>
      <c r="P22" s="55"/>
    </row>
    <row r="23" spans="1:35">
      <c r="A23" s="44" t="s">
        <v>45</v>
      </c>
      <c r="B23" s="48">
        <f>IF(J34&gt;B30,B22/B21,"")</f>
        <v>0.14848973625138526</v>
      </c>
      <c r="D23" s="100" t="s">
        <v>180</v>
      </c>
      <c r="J23" s="52">
        <f t="shared" ref="J23:J34" si="3">IF(K23*L23&gt;=$B$21,AVERAGE(J21:J22),K23*L23)</f>
        <v>81.66935493826189</v>
      </c>
      <c r="K23" s="61">
        <f t="shared" ref="K23:K34" si="4">IF($B$21&lt;=J22,($B$21-J22)/10/$B$32,($B$21-J22)/$B$32)</f>
        <v>1652.9316884531934</v>
      </c>
      <c r="L23" s="60">
        <f t="shared" ref="L23:L34" si="5">(20+0.534*$B$33)/K23^0.88</f>
        <v>4.9408790156771534E-2</v>
      </c>
      <c r="M23" s="44"/>
    </row>
    <row r="24" spans="1:35">
      <c r="A24" s="64" t="s">
        <v>164</v>
      </c>
      <c r="B24" s="43">
        <v>3000</v>
      </c>
      <c r="C24" t="s">
        <v>18</v>
      </c>
      <c r="D24" t="s">
        <v>165</v>
      </c>
      <c r="J24" s="52">
        <f t="shared" si="3"/>
        <v>81.66935493826189</v>
      </c>
      <c r="K24" s="61">
        <f t="shared" si="4"/>
        <v>1652.9316884531934</v>
      </c>
      <c r="L24" s="60">
        <f t="shared" si="5"/>
        <v>4.9408790156771534E-2</v>
      </c>
    </row>
    <row r="25" spans="1:35">
      <c r="A25" s="64" t="s">
        <v>166</v>
      </c>
      <c r="B25" s="43">
        <v>1</v>
      </c>
      <c r="D25" t="s">
        <v>167</v>
      </c>
      <c r="J25" s="52">
        <f t="shared" si="3"/>
        <v>81.66935493826189</v>
      </c>
      <c r="K25" s="61">
        <f t="shared" si="4"/>
        <v>1652.9316884531934</v>
      </c>
      <c r="L25" s="60">
        <f t="shared" si="5"/>
        <v>4.9408790156771534E-2</v>
      </c>
    </row>
    <row r="26" spans="1:35" ht="15.6">
      <c r="A26" s="65" t="s">
        <v>168</v>
      </c>
      <c r="B26" s="43">
        <v>0.1</v>
      </c>
      <c r="C26" s="68" t="s">
        <v>67</v>
      </c>
      <c r="D26" s="66" t="s">
        <v>169</v>
      </c>
      <c r="J26" s="52">
        <f t="shared" si="3"/>
        <v>81.66935493826189</v>
      </c>
      <c r="K26" s="61">
        <f t="shared" si="4"/>
        <v>1652.9316884531934</v>
      </c>
      <c r="L26" s="60">
        <f t="shared" si="5"/>
        <v>4.9408790156771534E-2</v>
      </c>
    </row>
    <row r="27" spans="1:35">
      <c r="A27" s="44" t="s">
        <v>17</v>
      </c>
      <c r="B27" s="67">
        <f>B25*B21/(B21/B24+B26)</f>
        <v>1941.1764705882354</v>
      </c>
      <c r="C27" t="s">
        <v>18</v>
      </c>
      <c r="D27" t="s">
        <v>19</v>
      </c>
      <c r="J27" s="52">
        <f t="shared" si="3"/>
        <v>81.66935493826189</v>
      </c>
      <c r="K27" s="61">
        <f t="shared" si="4"/>
        <v>1652.9316884531934</v>
      </c>
      <c r="L27" s="60">
        <f t="shared" si="5"/>
        <v>4.9408790156771534E-2</v>
      </c>
      <c r="M27" s="44"/>
      <c r="R27" s="52"/>
    </row>
    <row r="28" spans="1:35">
      <c r="A28" s="44" t="s">
        <v>46</v>
      </c>
      <c r="B28" s="49">
        <f>IF(J34&gt;B30,K34,"")</f>
        <v>1652.9316884531934</v>
      </c>
      <c r="C28" t="s">
        <v>18</v>
      </c>
      <c r="D28" t="s">
        <v>65</v>
      </c>
      <c r="J28" s="52">
        <f t="shared" si="3"/>
        <v>81.66935493826189</v>
      </c>
      <c r="K28" s="61">
        <f t="shared" si="4"/>
        <v>1652.9316884531934</v>
      </c>
      <c r="L28" s="60">
        <f t="shared" si="5"/>
        <v>4.9408790156771534E-2</v>
      </c>
      <c r="M28" s="44"/>
      <c r="R28" s="52"/>
    </row>
    <row r="29" spans="1:35">
      <c r="A29" s="65" t="s">
        <v>173</v>
      </c>
      <c r="B29" s="49">
        <f>10+0.2*B33</f>
        <v>15.08</v>
      </c>
      <c r="C29" t="s">
        <v>18</v>
      </c>
      <c r="D29" s="100" t="s">
        <v>171</v>
      </c>
      <c r="J29" s="52">
        <f t="shared" si="3"/>
        <v>81.66935493826189</v>
      </c>
      <c r="K29" s="61">
        <f t="shared" si="4"/>
        <v>1652.9316884531934</v>
      </c>
      <c r="L29" s="60">
        <f t="shared" si="5"/>
        <v>4.9408790156771534E-2</v>
      </c>
      <c r="M29" s="44"/>
      <c r="O29" s="52"/>
      <c r="P29" s="52"/>
      <c r="R29" s="53"/>
      <c r="AI29" s="52"/>
    </row>
    <row r="30" spans="1:35">
      <c r="A30" s="65" t="s">
        <v>174</v>
      </c>
      <c r="B30" s="49">
        <f>(20+0.534*B33)*B29^0.12</f>
        <v>46.481132144440508</v>
      </c>
      <c r="C30" s="100" t="s">
        <v>15</v>
      </c>
      <c r="D30" s="100" t="s">
        <v>172</v>
      </c>
      <c r="J30" s="52">
        <f t="shared" si="3"/>
        <v>81.66935493826189</v>
      </c>
      <c r="K30" s="61">
        <f t="shared" si="4"/>
        <v>1652.9316884531934</v>
      </c>
      <c r="L30" s="60">
        <f t="shared" si="5"/>
        <v>4.9408790156771534E-2</v>
      </c>
      <c r="M30" s="44"/>
      <c r="O30" s="52"/>
      <c r="R30" s="53"/>
      <c r="AI30" s="52"/>
    </row>
    <row r="31" spans="1:35">
      <c r="A31" s="44" t="s">
        <v>47</v>
      </c>
      <c r="B31" s="48">
        <f>IF(J34&gt;B30,B28/B27,"")</f>
        <v>0.85151026374861472</v>
      </c>
      <c r="D31" t="s">
        <v>48</v>
      </c>
      <c r="J31" s="52">
        <f t="shared" si="3"/>
        <v>81.66935493826189</v>
      </c>
      <c r="K31" s="61">
        <f t="shared" si="4"/>
        <v>1652.9316884531934</v>
      </c>
      <c r="L31" s="60">
        <f t="shared" si="5"/>
        <v>4.9408790156771534E-2</v>
      </c>
      <c r="M31" s="44"/>
      <c r="O31" s="52"/>
      <c r="R31" s="52"/>
      <c r="AI31" s="52"/>
    </row>
    <row r="32" spans="1:35">
      <c r="A32" s="44" t="s">
        <v>66</v>
      </c>
      <c r="B32" s="50">
        <f>B21/B27</f>
        <v>0.28333333333333333</v>
      </c>
      <c r="C32" s="51" t="s">
        <v>67</v>
      </c>
      <c r="D32" t="s">
        <v>68</v>
      </c>
      <c r="J32" s="52">
        <f t="shared" si="3"/>
        <v>81.66935493826189</v>
      </c>
      <c r="K32" s="61">
        <f t="shared" si="4"/>
        <v>1652.9316884531934</v>
      </c>
      <c r="L32" s="60">
        <f t="shared" si="5"/>
        <v>4.9408790156771534E-2</v>
      </c>
      <c r="M32" s="44"/>
    </row>
    <row r="33" spans="1:40">
      <c r="A33" t="s">
        <v>69</v>
      </c>
      <c r="B33" s="43">
        <v>25.4</v>
      </c>
      <c r="C33" t="s">
        <v>70</v>
      </c>
      <c r="D33" t="s">
        <v>71</v>
      </c>
      <c r="J33" s="52">
        <f t="shared" si="3"/>
        <v>81.66935493826189</v>
      </c>
      <c r="K33" s="61">
        <f t="shared" si="4"/>
        <v>1652.9316884531934</v>
      </c>
      <c r="L33" s="60">
        <f t="shared" si="5"/>
        <v>4.9408790156771534E-2</v>
      </c>
      <c r="M33" s="44"/>
    </row>
    <row r="34" spans="1:40">
      <c r="B34" s="52">
        <f>B33/25.4</f>
        <v>1</v>
      </c>
      <c r="C34" t="s">
        <v>28</v>
      </c>
      <c r="J34" s="52">
        <f t="shared" si="3"/>
        <v>81.66935493826189</v>
      </c>
      <c r="K34" s="61">
        <f t="shared" si="4"/>
        <v>1652.9316884531934</v>
      </c>
      <c r="L34" s="60">
        <f t="shared" si="5"/>
        <v>4.9408790156771534E-2</v>
      </c>
      <c r="M34" s="44"/>
    </row>
    <row r="35" spans="1:40">
      <c r="A35" t="s">
        <v>22</v>
      </c>
      <c r="B35" s="43">
        <v>2</v>
      </c>
      <c r="C35" t="s">
        <v>23</v>
      </c>
      <c r="D35" t="s">
        <v>24</v>
      </c>
      <c r="J35" s="52"/>
      <c r="K35" s="61"/>
      <c r="L35" s="60"/>
    </row>
    <row r="36" spans="1:40">
      <c r="A36" t="s">
        <v>25</v>
      </c>
      <c r="B36" s="43">
        <v>45.5</v>
      </c>
      <c r="C36" t="s">
        <v>26</v>
      </c>
      <c r="D36" t="s">
        <v>27</v>
      </c>
    </row>
    <row r="37" spans="1:40">
      <c r="B37" s="53">
        <f>B36/2.54</f>
        <v>17.913385826771652</v>
      </c>
      <c r="C37" t="s">
        <v>28</v>
      </c>
    </row>
    <row r="38" spans="1:40">
      <c r="A38" t="s">
        <v>72</v>
      </c>
      <c r="B38" s="54">
        <f>IF(J34&gt;B30,4*B23*B31,"")</f>
        <v>0.50576213791751723</v>
      </c>
      <c r="D38" t="s">
        <v>73</v>
      </c>
    </row>
    <row r="39" spans="1:40">
      <c r="A39" t="s">
        <v>29</v>
      </c>
      <c r="B39" s="55">
        <f>IF(CHOOSE($B$15,1,3,5.22761/(1+(95/B36)^2),3.9207/(1+(40/B36)^2),1.59593/(1+(10/B36)^2))&lt;1,1,CHOOSE($B$15,1,3,5.22761/(1+(95/B36)^2),3.9207/(1+(40/B36)^2),1.59593/(1+(10/B36)^2)))</f>
        <v>1</v>
      </c>
      <c r="D39" t="s">
        <v>30</v>
      </c>
      <c r="J39" t="s">
        <v>31</v>
      </c>
      <c r="K39" s="55">
        <f>B39</f>
        <v>1</v>
      </c>
      <c r="L39" s="55">
        <f>IF(CHOOSE($B$15,1,3,5.22761/(1+(95/K41)^2),3.9207/(1+(40/K41)^2),1.59593/(1+(10/K41)^2))&lt;1,1,CHOOSE($B$15,1,3,5.22761/(1+(95/K41)^2),3.9207/(1+(40/K41)^2),1.59593/(1+(10/K41)^2)))</f>
        <v>1</v>
      </c>
      <c r="M39" s="55">
        <f t="shared" ref="M39:AE39" si="6">IF(CHOOSE($B$15,1,3,5.22761/(1+(95/L41)^2),3.9207/(1+(40/L41)^2),1.59593/(1+(10/L41)^2))&lt;1,1,CHOOSE($B$15,1,3,5.22761/(1+(95/L41)^2),3.9207/(1+(40/L41)^2),1.59593/(1+(10/L41)^2)))</f>
        <v>1</v>
      </c>
      <c r="N39" s="55">
        <f t="shared" si="6"/>
        <v>1</v>
      </c>
      <c r="O39" s="55">
        <f t="shared" si="6"/>
        <v>1</v>
      </c>
      <c r="P39" s="55">
        <f t="shared" si="6"/>
        <v>1</v>
      </c>
      <c r="Q39" s="55">
        <f t="shared" si="6"/>
        <v>1</v>
      </c>
      <c r="R39" s="55">
        <f t="shared" si="6"/>
        <v>1</v>
      </c>
      <c r="S39" s="55">
        <f t="shared" si="6"/>
        <v>1</v>
      </c>
      <c r="T39" s="55">
        <f t="shared" si="6"/>
        <v>1</v>
      </c>
      <c r="U39" s="55">
        <f t="shared" si="6"/>
        <v>1</v>
      </c>
      <c r="V39" s="55">
        <f t="shared" si="6"/>
        <v>1</v>
      </c>
      <c r="W39" s="55">
        <f t="shared" si="6"/>
        <v>1</v>
      </c>
      <c r="X39" s="55">
        <f t="shared" si="6"/>
        <v>1</v>
      </c>
      <c r="Y39" s="55">
        <f t="shared" si="6"/>
        <v>1</v>
      </c>
      <c r="Z39" s="55">
        <f t="shared" si="6"/>
        <v>1</v>
      </c>
      <c r="AA39" s="55">
        <f t="shared" si="6"/>
        <v>1</v>
      </c>
      <c r="AB39" s="55">
        <f t="shared" si="6"/>
        <v>1</v>
      </c>
      <c r="AC39" s="55">
        <f t="shared" si="6"/>
        <v>1</v>
      </c>
      <c r="AD39" s="55">
        <f t="shared" si="6"/>
        <v>1</v>
      </c>
      <c r="AE39" s="55">
        <f t="shared" si="6"/>
        <v>1</v>
      </c>
    </row>
    <row r="40" spans="1:40">
      <c r="A40" t="s">
        <v>31</v>
      </c>
      <c r="B40" s="55">
        <f>AE39</f>
        <v>1</v>
      </c>
      <c r="D40" t="s">
        <v>32</v>
      </c>
      <c r="J40" t="s">
        <v>33</v>
      </c>
      <c r="K40" s="55">
        <f>B41</f>
        <v>2.6082620891773338</v>
      </c>
      <c r="L40" s="55">
        <f>K40/K39*L39</f>
        <v>2.6082620891773338</v>
      </c>
      <c r="M40" s="55">
        <f t="shared" ref="M40:AE40" si="7">L40/L39*M39</f>
        <v>2.6082620891773338</v>
      </c>
      <c r="N40" s="55">
        <f t="shared" si="7"/>
        <v>2.6082620891773338</v>
      </c>
      <c r="O40" s="55">
        <f t="shared" si="7"/>
        <v>2.6082620891773338</v>
      </c>
      <c r="P40" s="55">
        <f t="shared" si="7"/>
        <v>2.6082620891773338</v>
      </c>
      <c r="Q40" s="55">
        <f t="shared" si="7"/>
        <v>2.6082620891773338</v>
      </c>
      <c r="R40" s="55">
        <f t="shared" si="7"/>
        <v>2.6082620891773338</v>
      </c>
      <c r="S40" s="55">
        <f t="shared" si="7"/>
        <v>2.6082620891773338</v>
      </c>
      <c r="T40" s="55">
        <f t="shared" si="7"/>
        <v>2.6082620891773338</v>
      </c>
      <c r="U40" s="55">
        <f t="shared" si="7"/>
        <v>2.6082620891773338</v>
      </c>
      <c r="V40" s="55">
        <f t="shared" si="7"/>
        <v>2.6082620891773338</v>
      </c>
      <c r="W40" s="55">
        <f t="shared" si="7"/>
        <v>2.6082620891773338</v>
      </c>
      <c r="X40" s="55">
        <f t="shared" si="7"/>
        <v>2.6082620891773338</v>
      </c>
      <c r="Y40" s="55">
        <f t="shared" si="7"/>
        <v>2.6082620891773338</v>
      </c>
      <c r="Z40" s="55">
        <f t="shared" si="7"/>
        <v>2.6082620891773338</v>
      </c>
      <c r="AA40" s="55">
        <f t="shared" si="7"/>
        <v>2.6082620891773338</v>
      </c>
      <c r="AB40" s="55">
        <f t="shared" si="7"/>
        <v>2.6082620891773338</v>
      </c>
      <c r="AC40" s="55">
        <f t="shared" si="7"/>
        <v>2.6082620891773338</v>
      </c>
      <c r="AD40" s="55">
        <f t="shared" si="7"/>
        <v>2.6082620891773338</v>
      </c>
      <c r="AE40" s="55">
        <f t="shared" si="7"/>
        <v>2.6082620891773338</v>
      </c>
    </row>
    <row r="41" spans="1:40" ht="16.2">
      <c r="A41" t="s">
        <v>33</v>
      </c>
      <c r="B41" s="56">
        <f>IF(J34&gt;B30,0.02*B22*B28*B35/B36^2*B39,0.02*B30*B29*B35/B36^2*B39)</f>
        <v>2.6082620891773338</v>
      </c>
      <c r="C41" t="s">
        <v>34</v>
      </c>
      <c r="J41" t="s">
        <v>35</v>
      </c>
      <c r="K41" s="52">
        <f>B36*SQRT(B41/1.2)</f>
        <v>67.080514993298507</v>
      </c>
      <c r="L41" s="52">
        <f>$B$36*SQRT(L40/1.2)</f>
        <v>67.080514993298507</v>
      </c>
      <c r="M41" s="52">
        <f t="shared" ref="M41:AE41" si="8">$B$36*SQRT(M40/1.2)</f>
        <v>67.080514993298507</v>
      </c>
      <c r="N41" s="52">
        <f t="shared" si="8"/>
        <v>67.080514993298507</v>
      </c>
      <c r="O41" s="52">
        <f t="shared" si="8"/>
        <v>67.080514993298507</v>
      </c>
      <c r="P41" s="52">
        <f t="shared" si="8"/>
        <v>67.080514993298507</v>
      </c>
      <c r="Q41" s="52">
        <f t="shared" si="8"/>
        <v>67.080514993298507</v>
      </c>
      <c r="R41" s="52">
        <f t="shared" si="8"/>
        <v>67.080514993298507</v>
      </c>
      <c r="S41" s="52">
        <f t="shared" si="8"/>
        <v>67.080514993298507</v>
      </c>
      <c r="T41" s="52">
        <f t="shared" si="8"/>
        <v>67.080514993298507</v>
      </c>
      <c r="U41" s="52">
        <f t="shared" si="8"/>
        <v>67.080514993298507</v>
      </c>
      <c r="V41" s="52">
        <f t="shared" si="8"/>
        <v>67.080514993298507</v>
      </c>
      <c r="W41" s="52">
        <f t="shared" si="8"/>
        <v>67.080514993298507</v>
      </c>
      <c r="X41" s="52">
        <f t="shared" si="8"/>
        <v>67.080514993298507</v>
      </c>
      <c r="Y41" s="52">
        <f t="shared" si="8"/>
        <v>67.080514993298507</v>
      </c>
      <c r="Z41" s="52">
        <f t="shared" si="8"/>
        <v>67.080514993298507</v>
      </c>
      <c r="AA41" s="52">
        <f t="shared" si="8"/>
        <v>67.080514993298507</v>
      </c>
      <c r="AB41" s="52">
        <f t="shared" si="8"/>
        <v>67.080514993298507</v>
      </c>
      <c r="AC41" s="52">
        <f t="shared" si="8"/>
        <v>67.080514993298507</v>
      </c>
      <c r="AD41" s="52">
        <f t="shared" si="8"/>
        <v>67.080514993298507</v>
      </c>
      <c r="AE41" s="52">
        <f t="shared" si="8"/>
        <v>67.080514993298507</v>
      </c>
    </row>
    <row r="42" spans="1:40">
      <c r="A42" t="s">
        <v>35</v>
      </c>
      <c r="B42" s="57">
        <f>AE41</f>
        <v>67.080514993298507</v>
      </c>
      <c r="C42" t="s">
        <v>26</v>
      </c>
      <c r="D42" s="57">
        <f>B42/2.54</f>
        <v>26.409651572164766</v>
      </c>
      <c r="E42" t="s">
        <v>28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>
      <c r="B43" s="58"/>
      <c r="C43" s="59"/>
      <c r="D43" s="58"/>
    </row>
    <row r="44" spans="1:40">
      <c r="A44" t="s">
        <v>36</v>
      </c>
    </row>
    <row r="45" spans="1:40">
      <c r="A45" t="s">
        <v>37</v>
      </c>
    </row>
    <row r="46" spans="1:40">
      <c r="A46" t="s">
        <v>38</v>
      </c>
    </row>
    <row r="47" spans="1:40">
      <c r="A47" t="s">
        <v>39</v>
      </c>
    </row>
    <row r="48" spans="1:40">
      <c r="A48" t="s">
        <v>40</v>
      </c>
    </row>
    <row r="49" spans="1:1">
      <c r="A49" t="s">
        <v>41</v>
      </c>
    </row>
    <row r="50" spans="1:1">
      <c r="A50" t="s">
        <v>42</v>
      </c>
    </row>
    <row r="51" spans="1:1">
      <c r="A51" t="s">
        <v>43</v>
      </c>
    </row>
  </sheetData>
  <sheetProtection algorithmName="SHA-512" hashValue="RUAjxKfAYKUNkjEUdjk+GactlBXYNr5+gleZDpxtpUob2mVsiWNUJC96QtpcZov9kTHnIScci25n2WvQ9OR0NA==" saltValue="uPvJq8acnS7a4qY0taN2Og==" spinCount="100000" sheet="1" objects="1" scenarios="1"/>
  <pageMargins left="0.69930555555555596" right="0.69930555555555596" top="0.75" bottom="0.75" header="0.3" footer="0.3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Pict="0">
                <anchor moveWithCells="1">
                  <from>
                    <xdr:col>1</xdr:col>
                    <xdr:colOff>419100</xdr:colOff>
                    <xdr:row>13</xdr:row>
                    <xdr:rowOff>182880</xdr:rowOff>
                  </from>
                  <to>
                    <xdr:col>3</xdr:col>
                    <xdr:colOff>228600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Pict="0">
                <anchor moveWithCells="1">
                  <from>
                    <xdr:col>1</xdr:col>
                    <xdr:colOff>419100</xdr:colOff>
                    <xdr:row>15</xdr:row>
                    <xdr:rowOff>7620</xdr:rowOff>
                  </from>
                  <to>
                    <xdr:col>4</xdr:col>
                    <xdr:colOff>457200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Pict="0">
                <anchor moveWithCells="1">
                  <from>
                    <xdr:col>1</xdr:col>
                    <xdr:colOff>419100</xdr:colOff>
                    <xdr:row>16</xdr:row>
                    <xdr:rowOff>7620</xdr:rowOff>
                  </from>
                  <to>
                    <xdr:col>8</xdr:col>
                    <xdr:colOff>594360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Pict="0">
                <anchor moveWithCells="1">
                  <from>
                    <xdr:col>1</xdr:col>
                    <xdr:colOff>419100</xdr:colOff>
                    <xdr:row>17</xdr:row>
                    <xdr:rowOff>7620</xdr:rowOff>
                  </from>
                  <to>
                    <xdr:col>8</xdr:col>
                    <xdr:colOff>304800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Pict="0">
                <anchor moveWithCells="1">
                  <from>
                    <xdr:col>1</xdr:col>
                    <xdr:colOff>419100</xdr:colOff>
                    <xdr:row>18</xdr:row>
                    <xdr:rowOff>7620</xdr:rowOff>
                  </from>
                  <to>
                    <xdr:col>8</xdr:col>
                    <xdr:colOff>190500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5"/>
  <sheetViews>
    <sheetView zoomScaleNormal="100" workbookViewId="0"/>
  </sheetViews>
  <sheetFormatPr defaultColWidth="9" defaultRowHeight="14.4"/>
  <cols>
    <col min="1" max="1" width="9" style="70"/>
    <col min="2" max="2" width="12.88671875" style="70"/>
    <col min="3" max="9" width="9" style="70"/>
    <col min="10" max="32" width="9.109375" style="70" hidden="1" customWidth="1"/>
    <col min="33" max="34" width="9" style="70" hidden="1" customWidth="1"/>
    <col min="35" max="37" width="9" style="70"/>
    <col min="38" max="38" width="12.88671875" style="70"/>
    <col min="39" max="16384" width="9" style="70"/>
  </cols>
  <sheetData>
    <row r="1" spans="1:1" ht="21">
      <c r="A1" s="69" t="s">
        <v>74</v>
      </c>
    </row>
    <row r="2" spans="1:1">
      <c r="A2" s="71" t="s">
        <v>1</v>
      </c>
    </row>
    <row r="4" spans="1:1">
      <c r="A4" s="70" t="s">
        <v>2</v>
      </c>
    </row>
    <row r="5" spans="1:1">
      <c r="A5" s="70" t="s">
        <v>3</v>
      </c>
    </row>
    <row r="6" spans="1:1">
      <c r="A6" s="70" t="s">
        <v>4</v>
      </c>
    </row>
    <row r="7" spans="1:1">
      <c r="A7" s="70" t="s">
        <v>5</v>
      </c>
    </row>
    <row r="8" spans="1:1">
      <c r="A8" s="70" t="s">
        <v>6</v>
      </c>
    </row>
    <row r="9" spans="1:1">
      <c r="A9" s="70" t="s">
        <v>7</v>
      </c>
    </row>
    <row r="10" spans="1:1">
      <c r="A10" s="70" t="s">
        <v>8</v>
      </c>
    </row>
    <row r="12" spans="1:1">
      <c r="A12" s="72" t="s">
        <v>75</v>
      </c>
    </row>
    <row r="13" spans="1:1">
      <c r="A13" s="72" t="s">
        <v>76</v>
      </c>
    </row>
    <row r="14" spans="1:1">
      <c r="A14" s="72" t="s">
        <v>77</v>
      </c>
    </row>
    <row r="15" spans="1:1">
      <c r="A15" s="72" t="s">
        <v>78</v>
      </c>
    </row>
    <row r="16" spans="1:1">
      <c r="A16" s="72" t="s">
        <v>79</v>
      </c>
    </row>
    <row r="17" spans="1:31">
      <c r="A17" s="71"/>
    </row>
    <row r="18" spans="1:31">
      <c r="A18" s="71"/>
      <c r="B18" s="42">
        <v>2</v>
      </c>
    </row>
    <row r="19" spans="1:31">
      <c r="A19" s="71"/>
    </row>
    <row r="20" spans="1:31">
      <c r="A20" s="71"/>
    </row>
    <row r="21" spans="1:31">
      <c r="A21" s="71"/>
    </row>
    <row r="22" spans="1:31">
      <c r="A22" s="71"/>
    </row>
    <row r="24" spans="1:31">
      <c r="A24" s="73" t="s">
        <v>292</v>
      </c>
      <c r="B24" s="43">
        <v>20000</v>
      </c>
      <c r="C24" s="70" t="s">
        <v>15</v>
      </c>
      <c r="D24" s="138" t="s">
        <v>293</v>
      </c>
    </row>
    <row r="25" spans="1:31">
      <c r="A25" s="72" t="s">
        <v>80</v>
      </c>
      <c r="B25" s="43">
        <v>1000</v>
      </c>
      <c r="C25" s="70" t="s">
        <v>81</v>
      </c>
      <c r="D25" s="70" t="s">
        <v>82</v>
      </c>
    </row>
    <row r="26" spans="1:31">
      <c r="A26" s="70" t="s">
        <v>83</v>
      </c>
      <c r="B26" s="85">
        <f>0.5*B25*0.000000001*B24^2</f>
        <v>200.00000000000003</v>
      </c>
      <c r="C26" s="70" t="s">
        <v>84</v>
      </c>
      <c r="D26" s="70" t="s">
        <v>85</v>
      </c>
    </row>
    <row r="27" spans="1:31">
      <c r="A27" s="70" t="s">
        <v>25</v>
      </c>
      <c r="B27" s="43">
        <v>92</v>
      </c>
      <c r="C27" s="70" t="s">
        <v>26</v>
      </c>
      <c r="D27" s="70" t="s">
        <v>27</v>
      </c>
    </row>
    <row r="28" spans="1:31">
      <c r="B28" s="78">
        <f>B27/2.54</f>
        <v>36.220472440944881</v>
      </c>
      <c r="C28" s="70" t="s">
        <v>28</v>
      </c>
    </row>
    <row r="29" spans="1:31">
      <c r="A29" s="70" t="s">
        <v>29</v>
      </c>
      <c r="B29" s="79">
        <f>IF(CHOOSE(B18,1,3,5.22761/(1+(95/B27)^2),3.9207/(1+(40/B27)^2),1.59593/(1+(10/B27)^2))&lt;1,1,CHOOSE(B18,1,3,5.22761/(1+(95/B27)^2),3.9207/(1+(40/B27)^2),1.59593/(1+(10/B27)^2)))</f>
        <v>3</v>
      </c>
      <c r="D29" s="70" t="s">
        <v>30</v>
      </c>
    </row>
    <row r="30" spans="1:31">
      <c r="A30" s="70" t="s">
        <v>31</v>
      </c>
      <c r="B30" s="79">
        <f>AE30</f>
        <v>3</v>
      </c>
      <c r="D30" s="70" t="s">
        <v>32</v>
      </c>
      <c r="J30" s="70" t="s">
        <v>31</v>
      </c>
      <c r="K30" s="79">
        <f>B29</f>
        <v>3</v>
      </c>
      <c r="L30" s="79">
        <f t="shared" ref="L30:AE30" si="0">IF(CHOOSE($B$18,1,3,5.22761/(1+(95/K32)^2),3.9207/(1+(40/K32)^2),1.59593/(1+(10/K32)^2))&lt;1,1,CHOOSE($B$18,1,3,5.22761/(1+(95/K32)^2),3.9207/(1+(40/K32)^2),1.59593/(1+(10/K32)^2)))</f>
        <v>3</v>
      </c>
      <c r="M30" s="79">
        <f t="shared" si="0"/>
        <v>3</v>
      </c>
      <c r="N30" s="79">
        <f t="shared" si="0"/>
        <v>3</v>
      </c>
      <c r="O30" s="79">
        <f t="shared" si="0"/>
        <v>3</v>
      </c>
      <c r="P30" s="79">
        <f t="shared" si="0"/>
        <v>3</v>
      </c>
      <c r="Q30" s="79">
        <f t="shared" si="0"/>
        <v>3</v>
      </c>
      <c r="R30" s="79">
        <f t="shared" si="0"/>
        <v>3</v>
      </c>
      <c r="S30" s="79">
        <f t="shared" si="0"/>
        <v>3</v>
      </c>
      <c r="T30" s="79">
        <f t="shared" si="0"/>
        <v>3</v>
      </c>
      <c r="U30" s="79">
        <f t="shared" si="0"/>
        <v>3</v>
      </c>
      <c r="V30" s="79">
        <f t="shared" si="0"/>
        <v>3</v>
      </c>
      <c r="W30" s="79">
        <f t="shared" si="0"/>
        <v>3</v>
      </c>
      <c r="X30" s="79">
        <f t="shared" si="0"/>
        <v>3</v>
      </c>
      <c r="Y30" s="79">
        <f t="shared" si="0"/>
        <v>3</v>
      </c>
      <c r="Z30" s="79">
        <f t="shared" si="0"/>
        <v>3</v>
      </c>
      <c r="AA30" s="79">
        <f t="shared" si="0"/>
        <v>3</v>
      </c>
      <c r="AB30" s="79">
        <f t="shared" si="0"/>
        <v>3</v>
      </c>
      <c r="AC30" s="79">
        <f t="shared" si="0"/>
        <v>3</v>
      </c>
      <c r="AD30" s="79">
        <f t="shared" si="0"/>
        <v>3</v>
      </c>
      <c r="AE30" s="79">
        <f t="shared" si="0"/>
        <v>3</v>
      </c>
    </row>
    <row r="31" spans="1:31" ht="16.2">
      <c r="A31" s="70" t="s">
        <v>33</v>
      </c>
      <c r="B31" s="80">
        <f>0.02*1000*B26/B27^2*B29</f>
        <v>1.4177693761814747</v>
      </c>
      <c r="C31" s="70" t="s">
        <v>34</v>
      </c>
      <c r="J31" s="70" t="s">
        <v>33</v>
      </c>
      <c r="K31" s="79">
        <f>B31</f>
        <v>1.4177693761814747</v>
      </c>
      <c r="L31" s="79">
        <f t="shared" ref="L31:AE31" si="1">K31/K30*L30</f>
        <v>1.4177693761814747</v>
      </c>
      <c r="M31" s="79">
        <f t="shared" si="1"/>
        <v>1.4177693761814747</v>
      </c>
      <c r="N31" s="79">
        <f t="shared" si="1"/>
        <v>1.4177693761814747</v>
      </c>
      <c r="O31" s="79">
        <f t="shared" si="1"/>
        <v>1.4177693761814747</v>
      </c>
      <c r="P31" s="79">
        <f t="shared" si="1"/>
        <v>1.4177693761814747</v>
      </c>
      <c r="Q31" s="79">
        <f t="shared" si="1"/>
        <v>1.4177693761814747</v>
      </c>
      <c r="R31" s="79">
        <f t="shared" si="1"/>
        <v>1.4177693761814747</v>
      </c>
      <c r="S31" s="79">
        <f t="shared" si="1"/>
        <v>1.4177693761814747</v>
      </c>
      <c r="T31" s="79">
        <f t="shared" si="1"/>
        <v>1.4177693761814747</v>
      </c>
      <c r="U31" s="79">
        <f t="shared" si="1"/>
        <v>1.4177693761814747</v>
      </c>
      <c r="V31" s="79">
        <f t="shared" si="1"/>
        <v>1.4177693761814747</v>
      </c>
      <c r="W31" s="79">
        <f t="shared" si="1"/>
        <v>1.4177693761814747</v>
      </c>
      <c r="X31" s="79">
        <f t="shared" si="1"/>
        <v>1.4177693761814747</v>
      </c>
      <c r="Y31" s="79">
        <f t="shared" si="1"/>
        <v>1.4177693761814747</v>
      </c>
      <c r="Z31" s="79">
        <f t="shared" si="1"/>
        <v>1.4177693761814747</v>
      </c>
      <c r="AA31" s="79">
        <f t="shared" si="1"/>
        <v>1.4177693761814747</v>
      </c>
      <c r="AB31" s="79">
        <f t="shared" si="1"/>
        <v>1.4177693761814747</v>
      </c>
      <c r="AC31" s="79">
        <f t="shared" si="1"/>
        <v>1.4177693761814747</v>
      </c>
      <c r="AD31" s="79">
        <f t="shared" si="1"/>
        <v>1.4177693761814747</v>
      </c>
      <c r="AE31" s="79">
        <f t="shared" si="1"/>
        <v>1.4177693761814747</v>
      </c>
    </row>
    <row r="32" spans="1:31">
      <c r="A32" s="70" t="s">
        <v>35</v>
      </c>
      <c r="B32" s="81">
        <f>AE32</f>
        <v>100.00000000000001</v>
      </c>
      <c r="C32" s="70" t="s">
        <v>26</v>
      </c>
      <c r="D32" s="81">
        <f>B32/2.54</f>
        <v>39.370078740157489</v>
      </c>
      <c r="E32" s="70" t="s">
        <v>28</v>
      </c>
      <c r="J32" s="70" t="s">
        <v>35</v>
      </c>
      <c r="K32" s="82">
        <f>B27*SQRT(B31/1.2)</f>
        <v>100.00000000000001</v>
      </c>
      <c r="L32" s="82">
        <f t="shared" ref="L32:AE32" si="2">$B$27*SQRT(L31/1.2)</f>
        <v>100.00000000000001</v>
      </c>
      <c r="M32" s="82">
        <f t="shared" si="2"/>
        <v>100.00000000000001</v>
      </c>
      <c r="N32" s="82">
        <f t="shared" si="2"/>
        <v>100.00000000000001</v>
      </c>
      <c r="O32" s="82">
        <f t="shared" si="2"/>
        <v>100.00000000000001</v>
      </c>
      <c r="P32" s="82">
        <f t="shared" si="2"/>
        <v>100.00000000000001</v>
      </c>
      <c r="Q32" s="82">
        <f t="shared" si="2"/>
        <v>100.00000000000001</v>
      </c>
      <c r="R32" s="82">
        <f t="shared" si="2"/>
        <v>100.00000000000001</v>
      </c>
      <c r="S32" s="82">
        <f t="shared" si="2"/>
        <v>100.00000000000001</v>
      </c>
      <c r="T32" s="82">
        <f t="shared" si="2"/>
        <v>100.00000000000001</v>
      </c>
      <c r="U32" s="82">
        <f t="shared" si="2"/>
        <v>100.00000000000001</v>
      </c>
      <c r="V32" s="82">
        <f t="shared" si="2"/>
        <v>100.00000000000001</v>
      </c>
      <c r="W32" s="82">
        <f t="shared" si="2"/>
        <v>100.00000000000001</v>
      </c>
      <c r="X32" s="82">
        <f t="shared" si="2"/>
        <v>100.00000000000001</v>
      </c>
      <c r="Y32" s="82">
        <f t="shared" si="2"/>
        <v>100.00000000000001</v>
      </c>
      <c r="Z32" s="82">
        <f t="shared" si="2"/>
        <v>100.00000000000001</v>
      </c>
      <c r="AA32" s="82">
        <f t="shared" si="2"/>
        <v>100.00000000000001</v>
      </c>
      <c r="AB32" s="82">
        <f t="shared" si="2"/>
        <v>100.00000000000001</v>
      </c>
      <c r="AC32" s="82">
        <f t="shared" si="2"/>
        <v>100.00000000000001</v>
      </c>
      <c r="AD32" s="82">
        <f t="shared" si="2"/>
        <v>100.00000000000001</v>
      </c>
      <c r="AE32" s="82">
        <f t="shared" si="2"/>
        <v>100.00000000000001</v>
      </c>
    </row>
    <row r="33" spans="1:31">
      <c r="A33" s="70" t="s">
        <v>86</v>
      </c>
      <c r="B33" s="86">
        <f>IF(31.32*B26^0.33-155.45&lt;=0,"NONE",31.32*B26^0.33-155.45)</f>
        <v>24.504061077960927</v>
      </c>
      <c r="C33" s="70" t="s">
        <v>26</v>
      </c>
      <c r="D33" s="81">
        <f>IF(B33="NONE","",B33/2.54)</f>
        <v>9.6472681409294978</v>
      </c>
      <c r="E33" s="70" t="s">
        <v>28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>
      <c r="A34" s="70" t="s">
        <v>87</v>
      </c>
      <c r="B34" s="86">
        <f>IF(49.29*B26^0.33-5.09&lt;=0,"NONE",49.29*B26^0.33-5.09)</f>
        <v>278.11356547039253</v>
      </c>
      <c r="C34" s="70" t="s">
        <v>26</v>
      </c>
      <c r="D34" s="81">
        <f>IF(B34="NONE","",B34/2.54)</f>
        <v>109.49352971275296</v>
      </c>
      <c r="E34" s="70" t="s">
        <v>28</v>
      </c>
    </row>
    <row r="35" spans="1:31" s="87" customFormat="1">
      <c r="B35" s="88"/>
      <c r="D35" s="88"/>
    </row>
    <row r="36" spans="1:31">
      <c r="A36" s="70" t="s">
        <v>36</v>
      </c>
    </row>
    <row r="37" spans="1:31">
      <c r="A37" s="70" t="s">
        <v>37</v>
      </c>
    </row>
    <row r="38" spans="1:31">
      <c r="A38" s="70" t="s">
        <v>38</v>
      </c>
    </row>
    <row r="39" spans="1:31">
      <c r="A39" s="70" t="s">
        <v>39</v>
      </c>
    </row>
    <row r="40" spans="1:31">
      <c r="A40" s="70" t="s">
        <v>40</v>
      </c>
    </row>
    <row r="41" spans="1:31">
      <c r="A41" s="70" t="s">
        <v>41</v>
      </c>
    </row>
    <row r="42" spans="1:31">
      <c r="A42" s="70" t="s">
        <v>42</v>
      </c>
    </row>
    <row r="43" spans="1:31">
      <c r="A43" s="70" t="s">
        <v>43</v>
      </c>
    </row>
    <row r="44" spans="1:31">
      <c r="A44" s="70" t="s">
        <v>88</v>
      </c>
    </row>
    <row r="45" spans="1:31">
      <c r="A45" s="70" t="s">
        <v>89</v>
      </c>
    </row>
  </sheetData>
  <sheetProtection algorithmName="SHA-512" hashValue="yaVgTaxel6B6yFoSgPCN8QZiVG8cSECcTM+fNG1b1SgF4r2UIuo9CU+VRkXNsfXGl/auQ7oKaR2qvfR+w4jesg==" saltValue="dKkOhFmpVzc5FVq6fr2Hfw==" spinCount="100000" sheet="1" objects="1" scenarios="1"/>
  <pageMargins left="0.69930555555555596" right="0.69930555555555596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Pict="0">
                <anchor moveWithCells="1">
                  <from>
                    <xdr:col>1</xdr:col>
                    <xdr:colOff>419100</xdr:colOff>
                    <xdr:row>16</xdr:row>
                    <xdr:rowOff>182880</xdr:rowOff>
                  </from>
                  <to>
                    <xdr:col>2</xdr:col>
                    <xdr:colOff>571500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Pict="0">
                <anchor moveWithCells="1">
                  <from>
                    <xdr:col>1</xdr:col>
                    <xdr:colOff>419100</xdr:colOff>
                    <xdr:row>18</xdr:row>
                    <xdr:rowOff>7620</xdr:rowOff>
                  </from>
                  <to>
                    <xdr:col>4</xdr:col>
                    <xdr:colOff>198120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Pict="0">
                <anchor moveWithCells="1">
                  <from>
                    <xdr:col>1</xdr:col>
                    <xdr:colOff>419100</xdr:colOff>
                    <xdr:row>19</xdr:row>
                    <xdr:rowOff>7620</xdr:rowOff>
                  </from>
                  <to>
                    <xdr:col>8</xdr:col>
                    <xdr:colOff>45720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Pict="0">
                <anchor moveWithCells="1">
                  <from>
                    <xdr:col>1</xdr:col>
                    <xdr:colOff>419100</xdr:colOff>
                    <xdr:row>20</xdr:row>
                    <xdr:rowOff>7620</xdr:rowOff>
                  </from>
                  <to>
                    <xdr:col>7</xdr:col>
                    <xdr:colOff>464820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Pict="0">
                <anchor moveWithCells="1">
                  <from>
                    <xdr:col>1</xdr:col>
                    <xdr:colOff>426720</xdr:colOff>
                    <xdr:row>21</xdr:row>
                    <xdr:rowOff>7620</xdr:rowOff>
                  </from>
                  <to>
                    <xdr:col>7</xdr:col>
                    <xdr:colOff>251460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zoomScaleNormal="100" workbookViewId="0"/>
  </sheetViews>
  <sheetFormatPr defaultColWidth="9" defaultRowHeight="13.2"/>
  <cols>
    <col min="1" max="1" width="4.6640625" style="1" customWidth="1"/>
    <col min="2" max="3" width="11.44140625" style="1" customWidth="1"/>
    <col min="4" max="4" width="4.6640625" style="1" customWidth="1"/>
    <col min="5" max="5" width="10.44140625" style="1" customWidth="1"/>
    <col min="6" max="8" width="12.33203125" style="1" customWidth="1"/>
    <col min="9" max="9" width="4.6640625" style="1" customWidth="1"/>
    <col min="10" max="10" width="11.6640625" style="1" customWidth="1"/>
    <col min="11" max="13" width="12.33203125" style="1" customWidth="1"/>
    <col min="14" max="15" width="9" style="1"/>
    <col min="16" max="16" width="10.5546875" style="1"/>
    <col min="17" max="16384" width="9" style="1"/>
  </cols>
  <sheetData>
    <row r="2" spans="2:12">
      <c r="B2" s="139" t="s">
        <v>90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2:12" ht="38.25" customHeight="1">
      <c r="B4" s="139" t="s">
        <v>91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6" spans="2:12">
      <c r="C6" s="2" t="s">
        <v>92</v>
      </c>
      <c r="D6" s="3"/>
      <c r="E6" s="4" t="s">
        <v>93</v>
      </c>
      <c r="F6" s="2" t="s">
        <v>93</v>
      </c>
      <c r="G6" s="5" t="s">
        <v>92</v>
      </c>
      <c r="H6" s="4" t="s">
        <v>94</v>
      </c>
      <c r="I6" s="18"/>
    </row>
    <row r="7" spans="2:12">
      <c r="C7" s="6">
        <v>1</v>
      </c>
      <c r="D7" s="7"/>
      <c r="E7" s="8">
        <f t="shared" ref="E7:E14" si="0">20*C7^2</f>
        <v>20</v>
      </c>
      <c r="F7" s="6">
        <v>10</v>
      </c>
      <c r="G7" s="9">
        <f>SQRT(0.05*F7)</f>
        <v>0.70710678118654757</v>
      </c>
      <c r="H7" s="10">
        <f t="shared" ref="H7:H13" si="1">G7/12</f>
        <v>5.8925565098878967E-2</v>
      </c>
      <c r="I7" s="40"/>
    </row>
    <row r="8" spans="2:12">
      <c r="C8" s="6">
        <v>6</v>
      </c>
      <c r="D8" s="7"/>
      <c r="E8" s="8">
        <f t="shared" si="0"/>
        <v>720</v>
      </c>
      <c r="F8" s="6">
        <f t="shared" ref="F8:F13" si="2">F7*10</f>
        <v>100</v>
      </c>
      <c r="G8" s="9">
        <f t="shared" ref="G8:G13" si="3">SQRT(0.05*F8)</f>
        <v>2.2360679774997898</v>
      </c>
      <c r="H8" s="10">
        <f t="shared" si="1"/>
        <v>0.18633899812498247</v>
      </c>
      <c r="I8" s="40"/>
    </row>
    <row r="9" spans="2:12">
      <c r="C9" s="6">
        <v>12</v>
      </c>
      <c r="D9" s="7"/>
      <c r="E9" s="8">
        <f t="shared" si="0"/>
        <v>2880</v>
      </c>
      <c r="F9" s="6">
        <f t="shared" si="2"/>
        <v>1000</v>
      </c>
      <c r="G9" s="9">
        <f t="shared" si="3"/>
        <v>7.0710678118654755</v>
      </c>
      <c r="H9" s="10">
        <f t="shared" si="1"/>
        <v>0.58925565098878963</v>
      </c>
      <c r="I9" s="40"/>
    </row>
    <row r="10" spans="2:12">
      <c r="C10" s="6">
        <v>18</v>
      </c>
      <c r="D10" s="7"/>
      <c r="E10" s="8">
        <f t="shared" si="0"/>
        <v>6480</v>
      </c>
      <c r="F10" s="6">
        <f t="shared" si="2"/>
        <v>10000</v>
      </c>
      <c r="G10" s="9">
        <f t="shared" si="3"/>
        <v>22.360679774997898</v>
      </c>
      <c r="H10" s="10">
        <f t="shared" si="1"/>
        <v>1.8633899812498249</v>
      </c>
      <c r="I10" s="40"/>
    </row>
    <row r="11" spans="2:12">
      <c r="C11" s="6">
        <v>36</v>
      </c>
      <c r="D11" s="7"/>
      <c r="E11" s="8">
        <f t="shared" si="0"/>
        <v>25920</v>
      </c>
      <c r="F11" s="6">
        <f t="shared" si="2"/>
        <v>100000</v>
      </c>
      <c r="G11" s="9">
        <f t="shared" si="3"/>
        <v>70.710678118654755</v>
      </c>
      <c r="H11" s="10">
        <f t="shared" si="1"/>
        <v>5.8925565098878963</v>
      </c>
      <c r="I11" s="40"/>
    </row>
    <row r="12" spans="2:12">
      <c r="C12" s="6">
        <v>72</v>
      </c>
      <c r="D12" s="7"/>
      <c r="E12" s="8">
        <f t="shared" si="0"/>
        <v>103680</v>
      </c>
      <c r="F12" s="6">
        <f t="shared" si="2"/>
        <v>1000000</v>
      </c>
      <c r="G12" s="9">
        <f t="shared" si="3"/>
        <v>223.60679774997897</v>
      </c>
      <c r="H12" s="10">
        <f t="shared" si="1"/>
        <v>18.633899812498246</v>
      </c>
      <c r="I12" s="40"/>
    </row>
    <row r="13" spans="2:12">
      <c r="C13" s="6">
        <v>96</v>
      </c>
      <c r="D13" s="7"/>
      <c r="E13" s="8">
        <f t="shared" si="0"/>
        <v>184320</v>
      </c>
      <c r="F13" s="11">
        <f t="shared" si="2"/>
        <v>10000000</v>
      </c>
      <c r="G13" s="12">
        <f t="shared" si="3"/>
        <v>707.10678118654755</v>
      </c>
      <c r="H13" s="13">
        <f t="shared" si="1"/>
        <v>58.925565098878963</v>
      </c>
      <c r="I13" s="40"/>
    </row>
    <row r="14" spans="2:12">
      <c r="C14" s="14">
        <v>115.41791619769199</v>
      </c>
      <c r="D14" s="7"/>
      <c r="E14" s="8">
        <f t="shared" si="0"/>
        <v>266425.90758834901</v>
      </c>
      <c r="F14" s="15"/>
      <c r="G14" s="15"/>
    </row>
    <row r="15" spans="2:12">
      <c r="C15" s="16">
        <f>C36</f>
        <v>36.220472440944881</v>
      </c>
      <c r="D15" s="89"/>
      <c r="E15" s="17">
        <f>C34</f>
        <v>200000.00000000003</v>
      </c>
      <c r="F15" s="18" t="str">
        <f>IF($C$36&gt;=SQRT(0.0477*$C$34),"AR","No AR")</f>
        <v>No AR</v>
      </c>
    </row>
    <row r="16" spans="2:12">
      <c r="F16" s="18">
        <f>SQRT(0.0477*$C$34)</f>
        <v>97.672923576598251</v>
      </c>
    </row>
    <row r="17" spans="2:12">
      <c r="F17" s="18" t="str">
        <f>IF($C$36&gt;=SQRT(0.0477*$C$34),"AR","No AR")</f>
        <v>No AR</v>
      </c>
    </row>
    <row r="20" spans="2:12">
      <c r="F20" s="19">
        <f>IF(ISNUMBER($C$34),SQRT($C$34*3/(5*4*PI()))/2.54,"")</f>
        <v>38.472638732513381</v>
      </c>
      <c r="G20" s="1" t="s">
        <v>95</v>
      </c>
    </row>
    <row r="21" spans="2:12">
      <c r="F21" s="19">
        <f>SQRT($C$34*3/(5*4*PI()))/2.54</f>
        <v>38.472638732513381</v>
      </c>
      <c r="G21" s="1" t="s">
        <v>96</v>
      </c>
    </row>
    <row r="22" spans="2:12">
      <c r="F22" s="20">
        <f>3/(5*4*PI())/2.54</f>
        <v>1.8797827924239608E-2</v>
      </c>
      <c r="G22" s="1" t="s">
        <v>97</v>
      </c>
    </row>
    <row r="23" spans="2:12">
      <c r="F23" s="20">
        <f>3/(5*4*PI())</f>
        <v>4.7746482927568605E-2</v>
      </c>
      <c r="G23" s="21" t="s">
        <v>98</v>
      </c>
    </row>
    <row r="30" spans="2:12" ht="75.75" customHeight="1">
      <c r="B30" s="140" t="s">
        <v>99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2" spans="2:12">
      <c r="E32" s="141" t="s">
        <v>100</v>
      </c>
      <c r="F32" s="142"/>
      <c r="G32" s="143"/>
      <c r="J32" s="141" t="s">
        <v>101</v>
      </c>
      <c r="K32" s="142"/>
      <c r="L32" s="143"/>
    </row>
    <row r="33" spans="2:13">
      <c r="C33" s="22" t="s">
        <v>93</v>
      </c>
      <c r="E33" s="23" t="s">
        <v>92</v>
      </c>
      <c r="F33" s="24" t="s">
        <v>94</v>
      </c>
      <c r="G33" s="25"/>
      <c r="J33" s="23" t="s">
        <v>92</v>
      </c>
      <c r="K33" s="24" t="s">
        <v>94</v>
      </c>
      <c r="L33" s="25"/>
    </row>
    <row r="34" spans="2:13">
      <c r="B34" s="26" t="s">
        <v>102</v>
      </c>
      <c r="C34" s="90">
        <f>1000*'Cap 1'!B26</f>
        <v>200000.00000000003</v>
      </c>
      <c r="E34" s="27">
        <f>SQRT(0.05*C34)</f>
        <v>100.00000000000001</v>
      </c>
      <c r="F34" s="19">
        <f>IF(ISNUMBER($C$34),ROUND(E$34/12,1),"")</f>
        <v>8.3000000000000007</v>
      </c>
      <c r="G34" s="25"/>
      <c r="J34" s="27">
        <f>SQRT(0.05*C34/3)</f>
        <v>57.735026918962582</v>
      </c>
      <c r="K34" s="19">
        <f>IF(ISNUMBER($C$34),ROUND(J$34/12,1),"")</f>
        <v>4.8</v>
      </c>
      <c r="L34" s="25"/>
    </row>
    <row r="35" spans="2:13" ht="38.25" customHeight="1">
      <c r="C35" s="28" t="s">
        <v>103</v>
      </c>
      <c r="E35" s="29" t="s">
        <v>104</v>
      </c>
      <c r="F35" s="30" t="s">
        <v>105</v>
      </c>
      <c r="G35" s="31" t="s">
        <v>106</v>
      </c>
      <c r="J35" s="29" t="s">
        <v>104</v>
      </c>
      <c r="K35" s="30" t="s">
        <v>105</v>
      </c>
      <c r="L35" s="31" t="s">
        <v>106</v>
      </c>
    </row>
    <row r="36" spans="2:13">
      <c r="B36" s="26" t="s">
        <v>107</v>
      </c>
      <c r="C36" s="91">
        <f>'Cap 1'!B28</f>
        <v>36.220472440944881</v>
      </c>
      <c r="E36" s="32">
        <f>IF(ISNUMBER($C$36),ROUND(1.2*(E$34/$C$36)^2,1),"")</f>
        <v>9.1</v>
      </c>
      <c r="F36" s="33">
        <f>IF(ISNUMBER(E36),LOOKUP(E36-0.05,{-1,0,1.2,4,8,25,40},{"None",0,1,2,3,4,"No Hot Work"}),"")</f>
        <v>3</v>
      </c>
      <c r="G36" s="34" t="str">
        <f>IF(ISNUMBER(E36),LOOKUP(E36-0.05,{-1,0,1.2,4,8,25,40},{"None","1.2","4","8","25","40","No Hot Work"}),"")</f>
        <v>25</v>
      </c>
      <c r="J36" s="32">
        <f>IF(ISNUMBER($C$36),ROUND(1.2*(J$34/$C$36)^2,1),"")</f>
        <v>3</v>
      </c>
      <c r="K36" s="33">
        <f>IF(ISNUMBER(J36),LOOKUP(J36-0.05,{-1,0,1.2,4,8,25,40},{"None",0,1,2,3,4,"No Hot Work"}),"")</f>
        <v>1</v>
      </c>
      <c r="L36" s="34" t="str">
        <f>IF(ISNUMBER(J36),LOOKUP(J36-0.05,{-1,0,1.2,4,8,25,40},{"None","1.2","4","8","25","40","No Hot Work"}),"")</f>
        <v>4</v>
      </c>
    </row>
    <row r="37" spans="2:13" ht="52.8">
      <c r="E37" s="35" t="s">
        <v>108</v>
      </c>
      <c r="F37" s="36" t="s">
        <v>104</v>
      </c>
      <c r="G37" s="36" t="s">
        <v>105</v>
      </c>
      <c r="H37" s="37" t="s">
        <v>106</v>
      </c>
      <c r="I37" s="41"/>
      <c r="J37" s="35" t="s">
        <v>108</v>
      </c>
      <c r="K37" s="36" t="s">
        <v>104</v>
      </c>
      <c r="L37" s="36" t="s">
        <v>105</v>
      </c>
      <c r="M37" s="37" t="s">
        <v>106</v>
      </c>
    </row>
    <row r="38" spans="2:13">
      <c r="E38" s="38">
        <f>SQRT(0.05*C34)</f>
        <v>100.00000000000001</v>
      </c>
      <c r="F38" s="92">
        <v>1.2</v>
      </c>
      <c r="G38" s="92">
        <v>0</v>
      </c>
      <c r="H38" s="93">
        <v>1.2</v>
      </c>
      <c r="I38" s="94"/>
      <c r="J38" s="38">
        <f>SQRT(0.05*C34/3)</f>
        <v>57.735026918962582</v>
      </c>
      <c r="K38" s="92">
        <v>1.2</v>
      </c>
      <c r="L38" s="92">
        <v>0</v>
      </c>
      <c r="M38" s="93">
        <v>1.2</v>
      </c>
    </row>
    <row r="39" spans="2:13">
      <c r="E39" s="38">
        <f>E38*SQRT(F38/F39)</f>
        <v>54.772255750516614</v>
      </c>
      <c r="F39" s="92">
        <v>4</v>
      </c>
      <c r="G39" s="92">
        <v>1</v>
      </c>
      <c r="H39" s="93">
        <v>4</v>
      </c>
      <c r="I39" s="94"/>
      <c r="J39" s="38">
        <f>J38*SQRT(K38/K39)</f>
        <v>31.622776601683793</v>
      </c>
      <c r="K39" s="92">
        <v>4</v>
      </c>
      <c r="L39" s="92">
        <v>1</v>
      </c>
      <c r="M39" s="93">
        <v>4</v>
      </c>
    </row>
    <row r="40" spans="2:13">
      <c r="E40" s="38">
        <f>E39*SQRT(F39/F40)</f>
        <v>38.729833462074176</v>
      </c>
      <c r="F40" s="92">
        <v>8</v>
      </c>
      <c r="G40" s="92">
        <v>2</v>
      </c>
      <c r="H40" s="93">
        <v>8</v>
      </c>
      <c r="I40" s="94"/>
      <c r="J40" s="38">
        <f>J39*SQRT(K39/K40)</f>
        <v>22.360679774997898</v>
      </c>
      <c r="K40" s="92">
        <v>8</v>
      </c>
      <c r="L40" s="92">
        <v>2</v>
      </c>
      <c r="M40" s="93">
        <v>8</v>
      </c>
    </row>
    <row r="41" spans="2:13">
      <c r="E41" s="38">
        <f>E40*SQRT(F40/F41)</f>
        <v>21.908902300206648</v>
      </c>
      <c r="F41" s="92">
        <v>25</v>
      </c>
      <c r="G41" s="92">
        <v>3</v>
      </c>
      <c r="H41" s="93">
        <v>25</v>
      </c>
      <c r="I41" s="94"/>
      <c r="J41" s="38">
        <f>J40*SQRT(K40/K41)</f>
        <v>12.649110640673518</v>
      </c>
      <c r="K41" s="92">
        <v>25</v>
      </c>
      <c r="L41" s="92">
        <v>3</v>
      </c>
      <c r="M41" s="93">
        <v>25</v>
      </c>
    </row>
    <row r="42" spans="2:13">
      <c r="E42" s="38">
        <f>E41*SQRT(F41/F42)</f>
        <v>17.320508075688778</v>
      </c>
      <c r="F42" s="92">
        <v>40</v>
      </c>
      <c r="G42" s="92">
        <v>4</v>
      </c>
      <c r="H42" s="93">
        <v>40</v>
      </c>
      <c r="I42" s="94"/>
      <c r="J42" s="38">
        <f>J41*SQRT(K41/K42)</f>
        <v>10.000000000000002</v>
      </c>
      <c r="K42" s="92">
        <v>40</v>
      </c>
      <c r="L42" s="92">
        <v>4</v>
      </c>
      <c r="M42" s="93">
        <v>40</v>
      </c>
    </row>
    <row r="43" spans="2:13">
      <c r="E43" s="39">
        <f>E42-0.1</f>
        <v>17.220508075688777</v>
      </c>
      <c r="F43" s="95" t="s">
        <v>109</v>
      </c>
      <c r="G43" s="95" t="s">
        <v>110</v>
      </c>
      <c r="H43" s="96" t="s">
        <v>110</v>
      </c>
      <c r="I43" s="94"/>
      <c r="J43" s="39">
        <f>J42-0.1</f>
        <v>9.9000000000000021</v>
      </c>
      <c r="K43" s="95" t="s">
        <v>109</v>
      </c>
      <c r="L43" s="95" t="s">
        <v>110</v>
      </c>
      <c r="M43" s="96" t="s">
        <v>110</v>
      </c>
    </row>
  </sheetData>
  <sheetProtection algorithmName="SHA-512" hashValue="f2lwQEBIYymuTfi0NIpKdjhtJARFAOl2yzlIK3ZHH7C9/4LWF8aTGHZ5xcEzSK+ylUH3ZhdwUxYNGoyxAR70sg==" saltValue="lnOVujMCbdAzFaKKJH6gvw==" spinCount="100000" sheet="1" objects="1" scenarios="1"/>
  <mergeCells count="5">
    <mergeCell ref="B2:L2"/>
    <mergeCell ref="B4:L4"/>
    <mergeCell ref="B30:L30"/>
    <mergeCell ref="E32:G32"/>
    <mergeCell ref="J32:L32"/>
  </mergeCells>
  <dataValidations count="2">
    <dataValidation type="whole" errorStyle="warning" operator="lessThanOrEqual" showInputMessage="1" showErrorMessage="1" errorTitle="Working Distance" error="The working distance is usually an integer equal to or less than Dc, this value is greater than Dc." promptTitle="Working Distance" prompt="Enter the distance from the worker's body to the hazard in inches." sqref="C36">
      <formula1>ROUND($E$34,0)</formula1>
    </dataValidation>
    <dataValidation allowBlank="1" showInputMessage="1" showErrorMessage="1" promptTitle="Stored Energy" prompt="Enter the stored energy in Joules. _x000a_½CV² or ½LI²" sqref="C34"/>
  </dataValidations>
  <pageMargins left="0.75" right="0.75" top="1" bottom="1" header="0.51180555555555596" footer="0.51180555555555596"/>
  <pageSetup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zoomScaleNormal="100" workbookViewId="0"/>
  </sheetViews>
  <sheetFormatPr defaultColWidth="9" defaultRowHeight="14.4"/>
  <cols>
    <col min="1" max="9" width="9" style="70"/>
    <col min="10" max="32" width="9.109375" style="70" hidden="1" customWidth="1"/>
    <col min="33" max="34" width="9" style="70" hidden="1" customWidth="1"/>
    <col min="35" max="16384" width="9" style="70"/>
  </cols>
  <sheetData>
    <row r="1" spans="1:1" ht="21">
      <c r="A1" s="106" t="s">
        <v>183</v>
      </c>
    </row>
    <row r="2" spans="1:1">
      <c r="A2" s="71" t="s">
        <v>1</v>
      </c>
    </row>
    <row r="4" spans="1:1">
      <c r="A4" s="70" t="s">
        <v>2</v>
      </c>
    </row>
    <row r="5" spans="1:1">
      <c r="A5" s="70" t="s">
        <v>3</v>
      </c>
    </row>
    <row r="6" spans="1:1">
      <c r="A6" s="70" t="s">
        <v>4</v>
      </c>
    </row>
    <row r="7" spans="1:1">
      <c r="A7" s="70" t="s">
        <v>5</v>
      </c>
    </row>
    <row r="8" spans="1:1">
      <c r="A8" s="70" t="s">
        <v>6</v>
      </c>
    </row>
    <row r="9" spans="1:1">
      <c r="A9" s="70" t="s">
        <v>7</v>
      </c>
    </row>
    <row r="10" spans="1:1">
      <c r="A10" s="70" t="s">
        <v>8</v>
      </c>
    </row>
    <row r="12" spans="1:1">
      <c r="A12" s="108" t="s">
        <v>194</v>
      </c>
    </row>
    <row r="13" spans="1:1">
      <c r="A13" s="72" t="s">
        <v>76</v>
      </c>
    </row>
    <row r="14" spans="1:1">
      <c r="A14" s="72" t="s">
        <v>77</v>
      </c>
    </row>
    <row r="15" spans="1:1">
      <c r="A15" s="72" t="s">
        <v>78</v>
      </c>
    </row>
    <row r="16" spans="1:1">
      <c r="A16" s="72" t="s">
        <v>79</v>
      </c>
    </row>
    <row r="17" spans="1:31">
      <c r="A17" s="71"/>
    </row>
    <row r="18" spans="1:31">
      <c r="A18" s="71"/>
      <c r="B18" s="42">
        <v>1</v>
      </c>
    </row>
    <row r="19" spans="1:31">
      <c r="A19" s="71"/>
    </row>
    <row r="20" spans="1:31">
      <c r="A20" s="71"/>
    </row>
    <row r="21" spans="1:31">
      <c r="A21" s="71"/>
    </row>
    <row r="22" spans="1:31">
      <c r="A22" s="71"/>
    </row>
    <row r="24" spans="1:31">
      <c r="A24" s="74" t="s">
        <v>184</v>
      </c>
      <c r="B24" s="43">
        <v>200</v>
      </c>
      <c r="C24" s="111" t="s">
        <v>18</v>
      </c>
      <c r="D24" s="138" t="s">
        <v>294</v>
      </c>
    </row>
    <row r="25" spans="1:31">
      <c r="A25" s="108" t="s">
        <v>185</v>
      </c>
      <c r="B25" s="43">
        <v>10000</v>
      </c>
      <c r="C25" s="107" t="s">
        <v>186</v>
      </c>
      <c r="D25" s="107" t="s">
        <v>187</v>
      </c>
    </row>
    <row r="26" spans="1:31">
      <c r="A26" s="70" t="s">
        <v>83</v>
      </c>
      <c r="B26" s="109">
        <f>0.5*B25*0.000001*B24^2</f>
        <v>200</v>
      </c>
      <c r="C26" s="70" t="s">
        <v>84</v>
      </c>
      <c r="D26" s="70" t="s">
        <v>85</v>
      </c>
    </row>
    <row r="27" spans="1:31">
      <c r="A27" s="70" t="s">
        <v>25</v>
      </c>
      <c r="B27" s="43">
        <v>45.5</v>
      </c>
      <c r="C27" s="70" t="s">
        <v>26</v>
      </c>
      <c r="D27" s="70" t="s">
        <v>27</v>
      </c>
    </row>
    <row r="28" spans="1:31">
      <c r="B28" s="78">
        <f>B27/2.54</f>
        <v>17.913385826771652</v>
      </c>
      <c r="C28" s="70" t="s">
        <v>28</v>
      </c>
    </row>
    <row r="29" spans="1:31">
      <c r="A29" s="70" t="s">
        <v>29</v>
      </c>
      <c r="B29" s="79">
        <f>IF(CHOOSE(B18,1,3,5.22761/(1+(95/B27)^2),3.9207/(1+(40/B27)^2),1.59593/(1+(10/B27)^2))&lt;1,1,CHOOSE(B18,1,3,5.22761/(1+(95/B27)^2),3.9207/(1+(40/B27)^2),1.59593/(1+(10/B27)^2)))</f>
        <v>1</v>
      </c>
      <c r="D29" s="70" t="s">
        <v>30</v>
      </c>
    </row>
    <row r="30" spans="1:31">
      <c r="A30" s="70" t="s">
        <v>31</v>
      </c>
      <c r="B30" s="79">
        <f>AE30</f>
        <v>1</v>
      </c>
      <c r="D30" s="70" t="s">
        <v>32</v>
      </c>
      <c r="J30" s="70" t="s">
        <v>31</v>
      </c>
      <c r="K30" s="79">
        <f>B29</f>
        <v>1</v>
      </c>
      <c r="L30" s="79">
        <f t="shared" ref="L30:AE30" si="0">IF(CHOOSE($B$18,1,3,5.22761/(1+(95/K32)^2),3.9207/(1+(40/K32)^2),1.59593/(1+(10/K32)^2))&lt;1,1,CHOOSE($B$18,1,3,5.22761/(1+(95/K32)^2),3.9207/(1+(40/K32)^2),1.59593/(1+(10/K32)^2)))</f>
        <v>1</v>
      </c>
      <c r="M30" s="79">
        <f t="shared" si="0"/>
        <v>1</v>
      </c>
      <c r="N30" s="79">
        <f t="shared" si="0"/>
        <v>1</v>
      </c>
      <c r="O30" s="79">
        <f t="shared" si="0"/>
        <v>1</v>
      </c>
      <c r="P30" s="79">
        <f t="shared" si="0"/>
        <v>1</v>
      </c>
      <c r="Q30" s="79">
        <f t="shared" si="0"/>
        <v>1</v>
      </c>
      <c r="R30" s="79">
        <f t="shared" si="0"/>
        <v>1</v>
      </c>
      <c r="S30" s="79">
        <f t="shared" si="0"/>
        <v>1</v>
      </c>
      <c r="T30" s="79">
        <f t="shared" si="0"/>
        <v>1</v>
      </c>
      <c r="U30" s="79">
        <f t="shared" si="0"/>
        <v>1</v>
      </c>
      <c r="V30" s="79">
        <f t="shared" si="0"/>
        <v>1</v>
      </c>
      <c r="W30" s="79">
        <f t="shared" si="0"/>
        <v>1</v>
      </c>
      <c r="X30" s="79">
        <f t="shared" si="0"/>
        <v>1</v>
      </c>
      <c r="Y30" s="79">
        <f t="shared" si="0"/>
        <v>1</v>
      </c>
      <c r="Z30" s="79">
        <f t="shared" si="0"/>
        <v>1</v>
      </c>
      <c r="AA30" s="79">
        <f t="shared" si="0"/>
        <v>1</v>
      </c>
      <c r="AB30" s="79">
        <f t="shared" si="0"/>
        <v>1</v>
      </c>
      <c r="AC30" s="79">
        <f t="shared" si="0"/>
        <v>1</v>
      </c>
      <c r="AD30" s="79">
        <f t="shared" si="0"/>
        <v>1</v>
      </c>
      <c r="AE30" s="79">
        <f t="shared" si="0"/>
        <v>1</v>
      </c>
    </row>
    <row r="31" spans="1:31" ht="16.2">
      <c r="A31" s="70" t="s">
        <v>33</v>
      </c>
      <c r="B31" s="80">
        <f>0.02*1000*B26/B27^2*B29</f>
        <v>1.9321338002656685</v>
      </c>
      <c r="C31" s="70" t="s">
        <v>34</v>
      </c>
      <c r="J31" s="70" t="s">
        <v>33</v>
      </c>
      <c r="K31" s="79">
        <f>B31</f>
        <v>1.9321338002656685</v>
      </c>
      <c r="L31" s="79">
        <f t="shared" ref="L31:AE31" si="1">K31/K30*L30</f>
        <v>1.9321338002656685</v>
      </c>
      <c r="M31" s="79">
        <f t="shared" si="1"/>
        <v>1.9321338002656685</v>
      </c>
      <c r="N31" s="79">
        <f t="shared" si="1"/>
        <v>1.9321338002656685</v>
      </c>
      <c r="O31" s="79">
        <f t="shared" si="1"/>
        <v>1.9321338002656685</v>
      </c>
      <c r="P31" s="79">
        <f t="shared" si="1"/>
        <v>1.9321338002656685</v>
      </c>
      <c r="Q31" s="79">
        <f t="shared" si="1"/>
        <v>1.9321338002656685</v>
      </c>
      <c r="R31" s="79">
        <f t="shared" si="1"/>
        <v>1.9321338002656685</v>
      </c>
      <c r="S31" s="79">
        <f t="shared" si="1"/>
        <v>1.9321338002656685</v>
      </c>
      <c r="T31" s="79">
        <f t="shared" si="1"/>
        <v>1.9321338002656685</v>
      </c>
      <c r="U31" s="79">
        <f t="shared" si="1"/>
        <v>1.9321338002656685</v>
      </c>
      <c r="V31" s="79">
        <f t="shared" si="1"/>
        <v>1.9321338002656685</v>
      </c>
      <c r="W31" s="79">
        <f t="shared" si="1"/>
        <v>1.9321338002656685</v>
      </c>
      <c r="X31" s="79">
        <f t="shared" si="1"/>
        <v>1.9321338002656685</v>
      </c>
      <c r="Y31" s="79">
        <f t="shared" si="1"/>
        <v>1.9321338002656685</v>
      </c>
      <c r="Z31" s="79">
        <f t="shared" si="1"/>
        <v>1.9321338002656685</v>
      </c>
      <c r="AA31" s="79">
        <f t="shared" si="1"/>
        <v>1.9321338002656685</v>
      </c>
      <c r="AB31" s="79">
        <f t="shared" si="1"/>
        <v>1.9321338002656685</v>
      </c>
      <c r="AC31" s="79">
        <f t="shared" si="1"/>
        <v>1.9321338002656685</v>
      </c>
      <c r="AD31" s="79">
        <f t="shared" si="1"/>
        <v>1.9321338002656685</v>
      </c>
      <c r="AE31" s="79">
        <f t="shared" si="1"/>
        <v>1.9321338002656685</v>
      </c>
    </row>
    <row r="32" spans="1:31">
      <c r="A32" s="70" t="s">
        <v>35</v>
      </c>
      <c r="B32" s="81">
        <f>AE32</f>
        <v>57.735026918962582</v>
      </c>
      <c r="C32" s="70" t="s">
        <v>26</v>
      </c>
      <c r="D32" s="81">
        <f>B32/2.54</f>
        <v>22.730325558646687</v>
      </c>
      <c r="E32" s="70" t="s">
        <v>28</v>
      </c>
      <c r="J32" s="70" t="s">
        <v>35</v>
      </c>
      <c r="K32" s="82">
        <f>B27*SQRT(B31/1.2)</f>
        <v>57.735026918962582</v>
      </c>
      <c r="L32" s="82">
        <f t="shared" ref="L32:AE32" si="2">$B$27*SQRT(L31/1.2)</f>
        <v>57.735026918962582</v>
      </c>
      <c r="M32" s="82">
        <f t="shared" si="2"/>
        <v>57.735026918962582</v>
      </c>
      <c r="N32" s="82">
        <f t="shared" si="2"/>
        <v>57.735026918962582</v>
      </c>
      <c r="O32" s="82">
        <f t="shared" si="2"/>
        <v>57.735026918962582</v>
      </c>
      <c r="P32" s="82">
        <f t="shared" si="2"/>
        <v>57.735026918962582</v>
      </c>
      <c r="Q32" s="82">
        <f t="shared" si="2"/>
        <v>57.735026918962582</v>
      </c>
      <c r="R32" s="82">
        <f t="shared" si="2"/>
        <v>57.735026918962582</v>
      </c>
      <c r="S32" s="82">
        <f t="shared" si="2"/>
        <v>57.735026918962582</v>
      </c>
      <c r="T32" s="82">
        <f t="shared" si="2"/>
        <v>57.735026918962582</v>
      </c>
      <c r="U32" s="82">
        <f t="shared" si="2"/>
        <v>57.735026918962582</v>
      </c>
      <c r="V32" s="82">
        <f t="shared" si="2"/>
        <v>57.735026918962582</v>
      </c>
      <c r="W32" s="82">
        <f t="shared" si="2"/>
        <v>57.735026918962582</v>
      </c>
      <c r="X32" s="82">
        <f t="shared" si="2"/>
        <v>57.735026918962582</v>
      </c>
      <c r="Y32" s="82">
        <f t="shared" si="2"/>
        <v>57.735026918962582</v>
      </c>
      <c r="Z32" s="82">
        <f t="shared" si="2"/>
        <v>57.735026918962582</v>
      </c>
      <c r="AA32" s="82">
        <f t="shared" si="2"/>
        <v>57.735026918962582</v>
      </c>
      <c r="AB32" s="82">
        <f t="shared" si="2"/>
        <v>57.735026918962582</v>
      </c>
      <c r="AC32" s="82">
        <f t="shared" si="2"/>
        <v>57.735026918962582</v>
      </c>
      <c r="AD32" s="82">
        <f t="shared" si="2"/>
        <v>57.735026918962582</v>
      </c>
      <c r="AE32" s="82">
        <f t="shared" si="2"/>
        <v>57.735026918962582</v>
      </c>
    </row>
    <row r="33" spans="1:31">
      <c r="A33" s="70" t="s">
        <v>86</v>
      </c>
      <c r="B33" s="86">
        <f>IF(31.32*B26^0.33-155.45&lt;=0,"NONE",31.32*B26^0.33-155.45)</f>
        <v>24.504061077960841</v>
      </c>
      <c r="C33" s="70" t="s">
        <v>26</v>
      </c>
      <c r="D33" s="81">
        <f>IF(B33="NONE","",B33/2.54)</f>
        <v>9.6472681409294658</v>
      </c>
      <c r="E33" s="70" t="s">
        <v>28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</row>
    <row r="34" spans="1:31">
      <c r="A34" s="70" t="s">
        <v>87</v>
      </c>
      <c r="B34" s="86">
        <f>IF(49.29*B26^0.33-5.09&lt;=0,"NONE",49.29*B26^0.33-5.09)</f>
        <v>278.11356547039242</v>
      </c>
      <c r="C34" s="70" t="s">
        <v>26</v>
      </c>
      <c r="D34" s="81">
        <f>IF(B34="NONE","",B34/2.54)</f>
        <v>109.49352971275292</v>
      </c>
      <c r="E34" s="70" t="s">
        <v>28</v>
      </c>
    </row>
    <row r="35" spans="1:31" s="87" customFormat="1">
      <c r="B35" s="88"/>
      <c r="D35" s="88"/>
    </row>
    <row r="36" spans="1:31">
      <c r="A36" s="70" t="s">
        <v>36</v>
      </c>
    </row>
    <row r="37" spans="1:31">
      <c r="A37" s="70" t="s">
        <v>37</v>
      </c>
    </row>
    <row r="38" spans="1:31">
      <c r="A38" s="70" t="s">
        <v>38</v>
      </c>
    </row>
    <row r="39" spans="1:31">
      <c r="A39" s="70" t="s">
        <v>39</v>
      </c>
    </row>
    <row r="40" spans="1:31">
      <c r="A40" s="70" t="s">
        <v>40</v>
      </c>
    </row>
    <row r="41" spans="1:31">
      <c r="A41" s="70" t="s">
        <v>41</v>
      </c>
    </row>
    <row r="42" spans="1:31">
      <c r="A42" s="70" t="s">
        <v>42</v>
      </c>
    </row>
    <row r="43" spans="1:31">
      <c r="A43" s="70" t="s">
        <v>43</v>
      </c>
    </row>
    <row r="44" spans="1:31">
      <c r="A44" s="70" t="s">
        <v>88</v>
      </c>
    </row>
    <row r="45" spans="1:31">
      <c r="A45" s="70" t="s">
        <v>89</v>
      </c>
    </row>
    <row r="46" spans="1:31">
      <c r="A46" s="107" t="s">
        <v>188</v>
      </c>
    </row>
    <row r="47" spans="1:31">
      <c r="A47" s="107" t="s">
        <v>189</v>
      </c>
    </row>
  </sheetData>
  <sheetProtection algorithmName="SHA-512" hashValue="6iff4jx6qKdDrQlEwyBgu8uQxXa74gFsgg0tfKo+SvjF5NQlI6eAuAwaCeJz0eNwvgDSIElhHOtbIXY57uSGww==" saltValue="hkcVS+5aumuQgTgTUMmOng==" spinCount="100000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Option Button 1">
              <controlPr defaultSize="0" autoPict="0">
                <anchor moveWithCells="1">
                  <from>
                    <xdr:col>1</xdr:col>
                    <xdr:colOff>419100</xdr:colOff>
                    <xdr:row>16</xdr:row>
                    <xdr:rowOff>182880</xdr:rowOff>
                  </from>
                  <to>
                    <xdr:col>2</xdr:col>
                    <xdr:colOff>556260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Option Button 2">
              <controlPr defaultSize="0" autoPict="0">
                <anchor moveWithCells="1">
                  <from>
                    <xdr:col>1</xdr:col>
                    <xdr:colOff>419100</xdr:colOff>
                    <xdr:row>18</xdr:row>
                    <xdr:rowOff>7620</xdr:rowOff>
                  </from>
                  <to>
                    <xdr:col>4</xdr:col>
                    <xdr:colOff>175260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defaultSize="0" autoPict="0">
                <anchor moveWithCells="1">
                  <from>
                    <xdr:col>1</xdr:col>
                    <xdr:colOff>419100</xdr:colOff>
                    <xdr:row>19</xdr:row>
                    <xdr:rowOff>7620</xdr:rowOff>
                  </from>
                  <to>
                    <xdr:col>7</xdr:col>
                    <xdr:colOff>579120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Option Button 4">
              <controlPr defaultSize="0" autoPict="0">
                <anchor moveWithCells="1">
                  <from>
                    <xdr:col>1</xdr:col>
                    <xdr:colOff>419100</xdr:colOff>
                    <xdr:row>20</xdr:row>
                    <xdr:rowOff>7620</xdr:rowOff>
                  </from>
                  <to>
                    <xdr:col>7</xdr:col>
                    <xdr:colOff>403860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Option Button 5">
              <controlPr defaultSize="0" autoPict="0">
                <anchor moveWithCells="1">
                  <from>
                    <xdr:col>1</xdr:col>
                    <xdr:colOff>426720</xdr:colOff>
                    <xdr:row>21</xdr:row>
                    <xdr:rowOff>7620</xdr:rowOff>
                  </from>
                  <to>
                    <xdr:col>7</xdr:col>
                    <xdr:colOff>190500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0"/>
  <sheetViews>
    <sheetView zoomScaleNormal="100" workbookViewId="0"/>
  </sheetViews>
  <sheetFormatPr defaultColWidth="9" defaultRowHeight="14.4"/>
  <cols>
    <col min="1" max="1" width="9" style="70"/>
    <col min="2" max="2" width="8.88671875" style="70" customWidth="1"/>
    <col min="3" max="9" width="9" style="70"/>
    <col min="10" max="10" width="5.21875" style="70" hidden="1" customWidth="1"/>
    <col min="11" max="31" width="4.5546875" style="70" hidden="1" customWidth="1"/>
    <col min="32" max="32" width="9.109375" style="70" hidden="1" customWidth="1"/>
    <col min="33" max="34" width="9" style="70" hidden="1" customWidth="1"/>
    <col min="35" max="16384" width="9" style="70"/>
  </cols>
  <sheetData>
    <row r="1" spans="1:1" ht="21">
      <c r="A1" s="106" t="s">
        <v>201</v>
      </c>
    </row>
    <row r="2" spans="1:1">
      <c r="A2" s="71" t="s">
        <v>1</v>
      </c>
    </row>
    <row r="4" spans="1:1">
      <c r="A4" s="70" t="s">
        <v>2</v>
      </c>
    </row>
    <row r="5" spans="1:1">
      <c r="A5" s="70" t="s">
        <v>3</v>
      </c>
    </row>
    <row r="6" spans="1:1">
      <c r="A6" s="70" t="s">
        <v>4</v>
      </c>
    </row>
    <row r="7" spans="1:1">
      <c r="A7" s="70" t="s">
        <v>5</v>
      </c>
    </row>
    <row r="8" spans="1:1">
      <c r="A8" s="70" t="s">
        <v>6</v>
      </c>
    </row>
    <row r="9" spans="1:1">
      <c r="A9" s="70" t="s">
        <v>7</v>
      </c>
    </row>
    <row r="10" spans="1:1">
      <c r="A10" s="70" t="s">
        <v>8</v>
      </c>
    </row>
    <row r="12" spans="1:1">
      <c r="A12" s="108" t="s">
        <v>194</v>
      </c>
    </row>
    <row r="13" spans="1:1">
      <c r="A13" s="72" t="s">
        <v>76</v>
      </c>
    </row>
    <row r="14" spans="1:1">
      <c r="A14" s="72" t="s">
        <v>77</v>
      </c>
    </row>
    <row r="15" spans="1:1">
      <c r="A15" s="72" t="s">
        <v>78</v>
      </c>
    </row>
    <row r="16" spans="1:1">
      <c r="A16" s="72" t="s">
        <v>79</v>
      </c>
    </row>
    <row r="17" spans="1:31">
      <c r="A17" s="71"/>
    </row>
    <row r="18" spans="1:31">
      <c r="A18" s="71"/>
      <c r="B18" s="42">
        <v>1</v>
      </c>
    </row>
    <row r="19" spans="1:31">
      <c r="A19" s="71"/>
    </row>
    <row r="20" spans="1:31">
      <c r="A20" s="71"/>
    </row>
    <row r="21" spans="1:31">
      <c r="A21" s="71"/>
    </row>
    <row r="22" spans="1:31">
      <c r="A22" s="71"/>
    </row>
    <row r="24" spans="1:31">
      <c r="A24" s="74" t="s">
        <v>199</v>
      </c>
      <c r="B24" s="43">
        <v>10</v>
      </c>
      <c r="C24" s="112" t="s">
        <v>195</v>
      </c>
      <c r="D24" s="117" t="s">
        <v>217</v>
      </c>
    </row>
    <row r="25" spans="1:31" ht="15">
      <c r="A25" s="113" t="s">
        <v>200</v>
      </c>
      <c r="B25" s="43">
        <v>0.5</v>
      </c>
      <c r="C25" s="112" t="s">
        <v>196</v>
      </c>
      <c r="D25" s="112" t="s">
        <v>197</v>
      </c>
    </row>
    <row r="26" spans="1:31">
      <c r="A26" s="108" t="s">
        <v>198</v>
      </c>
      <c r="B26" s="43">
        <v>0.2</v>
      </c>
      <c r="C26" s="112" t="s">
        <v>196</v>
      </c>
      <c r="D26" s="118" t="s">
        <v>218</v>
      </c>
    </row>
    <row r="27" spans="1:31">
      <c r="A27" s="70" t="s">
        <v>83</v>
      </c>
      <c r="B27" s="114">
        <f>B24^2*3.14159*B26^2*B25/8000/0.000001257</f>
        <v>624.81901352426428</v>
      </c>
      <c r="C27" s="70" t="s">
        <v>84</v>
      </c>
      <c r="D27" s="70" t="s">
        <v>85</v>
      </c>
    </row>
    <row r="28" spans="1:31">
      <c r="A28" s="70" t="s">
        <v>25</v>
      </c>
      <c r="B28" s="43">
        <v>45.5</v>
      </c>
      <c r="C28" s="70" t="s">
        <v>26</v>
      </c>
      <c r="D28" s="70" t="s">
        <v>27</v>
      </c>
    </row>
    <row r="29" spans="1:31">
      <c r="B29" s="78">
        <f>B28/2.54</f>
        <v>17.913385826771652</v>
      </c>
      <c r="C29" s="70" t="s">
        <v>28</v>
      </c>
    </row>
    <row r="30" spans="1:31">
      <c r="A30" s="70" t="s">
        <v>29</v>
      </c>
      <c r="B30" s="79">
        <f>IF(CHOOSE(B18,1,3,5.22761/(1+(95/B28)^2),3.9207/(1+(40/B28)^2),1.59593/(1+(10/B28)^2))&lt;1,1,CHOOSE(B18,1,3,5.22761/(1+(95/B28)^2),3.9207/(1+(40/B28)^2),1.59593/(1+(10/B28)^2)))</f>
        <v>1</v>
      </c>
      <c r="D30" s="70" t="s">
        <v>30</v>
      </c>
    </row>
    <row r="31" spans="1:31">
      <c r="A31" s="70" t="s">
        <v>31</v>
      </c>
      <c r="B31" s="79">
        <f>AE31</f>
        <v>1</v>
      </c>
      <c r="D31" s="70" t="s">
        <v>32</v>
      </c>
      <c r="J31" s="70" t="s">
        <v>31</v>
      </c>
      <c r="K31" s="79">
        <f>B30</f>
        <v>1</v>
      </c>
      <c r="L31" s="79">
        <f t="shared" ref="L31:AE31" si="0">IF(CHOOSE($B$18,1,3,5.22761/(1+(95/K33)^2),3.9207/(1+(40/K33)^2),1.59593/(1+(10/K33)^2))&lt;1,1,CHOOSE($B$18,1,3,5.22761/(1+(95/K33)^2),3.9207/(1+(40/K33)^2),1.59593/(1+(10/K33)^2)))</f>
        <v>1</v>
      </c>
      <c r="M31" s="79">
        <f t="shared" si="0"/>
        <v>1</v>
      </c>
      <c r="N31" s="79">
        <f t="shared" si="0"/>
        <v>1</v>
      </c>
      <c r="O31" s="79">
        <f t="shared" si="0"/>
        <v>1</v>
      </c>
      <c r="P31" s="79">
        <f t="shared" si="0"/>
        <v>1</v>
      </c>
      <c r="Q31" s="79">
        <f t="shared" si="0"/>
        <v>1</v>
      </c>
      <c r="R31" s="79">
        <f t="shared" si="0"/>
        <v>1</v>
      </c>
      <c r="S31" s="79">
        <f t="shared" si="0"/>
        <v>1</v>
      </c>
      <c r="T31" s="79">
        <f t="shared" si="0"/>
        <v>1</v>
      </c>
      <c r="U31" s="79">
        <f t="shared" si="0"/>
        <v>1</v>
      </c>
      <c r="V31" s="79">
        <f t="shared" si="0"/>
        <v>1</v>
      </c>
      <c r="W31" s="79">
        <f t="shared" si="0"/>
        <v>1</v>
      </c>
      <c r="X31" s="79">
        <f t="shared" si="0"/>
        <v>1</v>
      </c>
      <c r="Y31" s="79">
        <f t="shared" si="0"/>
        <v>1</v>
      </c>
      <c r="Z31" s="79">
        <f t="shared" si="0"/>
        <v>1</v>
      </c>
      <c r="AA31" s="79">
        <f t="shared" si="0"/>
        <v>1</v>
      </c>
      <c r="AB31" s="79">
        <f t="shared" si="0"/>
        <v>1</v>
      </c>
      <c r="AC31" s="79">
        <f t="shared" si="0"/>
        <v>1</v>
      </c>
      <c r="AD31" s="79">
        <f t="shared" si="0"/>
        <v>1</v>
      </c>
      <c r="AE31" s="79">
        <f t="shared" si="0"/>
        <v>1</v>
      </c>
    </row>
    <row r="32" spans="1:31" ht="16.2">
      <c r="A32" s="70" t="s">
        <v>33</v>
      </c>
      <c r="B32" s="80">
        <f>0.02*1000*B27/B28^2*B30</f>
        <v>6.0361696753944143</v>
      </c>
      <c r="C32" s="70" t="s">
        <v>34</v>
      </c>
      <c r="J32" s="70" t="s">
        <v>33</v>
      </c>
      <c r="K32" s="79">
        <f>B32</f>
        <v>6.0361696753944143</v>
      </c>
      <c r="L32" s="79">
        <f t="shared" ref="L32:AE32" si="1">K32/K31*L31</f>
        <v>6.0361696753944143</v>
      </c>
      <c r="M32" s="79">
        <f t="shared" si="1"/>
        <v>6.0361696753944143</v>
      </c>
      <c r="N32" s="79">
        <f t="shared" si="1"/>
        <v>6.0361696753944143</v>
      </c>
      <c r="O32" s="79">
        <f t="shared" si="1"/>
        <v>6.0361696753944143</v>
      </c>
      <c r="P32" s="79">
        <f t="shared" si="1"/>
        <v>6.0361696753944143</v>
      </c>
      <c r="Q32" s="79">
        <f t="shared" si="1"/>
        <v>6.0361696753944143</v>
      </c>
      <c r="R32" s="79">
        <f t="shared" si="1"/>
        <v>6.0361696753944143</v>
      </c>
      <c r="S32" s="79">
        <f t="shared" si="1"/>
        <v>6.0361696753944143</v>
      </c>
      <c r="T32" s="79">
        <f t="shared" si="1"/>
        <v>6.0361696753944143</v>
      </c>
      <c r="U32" s="79">
        <f t="shared" si="1"/>
        <v>6.0361696753944143</v>
      </c>
      <c r="V32" s="79">
        <f t="shared" si="1"/>
        <v>6.0361696753944143</v>
      </c>
      <c r="W32" s="79">
        <f t="shared" si="1"/>
        <v>6.0361696753944143</v>
      </c>
      <c r="X32" s="79">
        <f t="shared" si="1"/>
        <v>6.0361696753944143</v>
      </c>
      <c r="Y32" s="79">
        <f t="shared" si="1"/>
        <v>6.0361696753944143</v>
      </c>
      <c r="Z32" s="79">
        <f t="shared" si="1"/>
        <v>6.0361696753944143</v>
      </c>
      <c r="AA32" s="79">
        <f t="shared" si="1"/>
        <v>6.0361696753944143</v>
      </c>
      <c r="AB32" s="79">
        <f t="shared" si="1"/>
        <v>6.0361696753944143</v>
      </c>
      <c r="AC32" s="79">
        <f t="shared" si="1"/>
        <v>6.0361696753944143</v>
      </c>
      <c r="AD32" s="79">
        <f t="shared" si="1"/>
        <v>6.0361696753944143</v>
      </c>
      <c r="AE32" s="79">
        <f t="shared" si="1"/>
        <v>6.0361696753944143</v>
      </c>
    </row>
    <row r="33" spans="1:31">
      <c r="A33" s="70" t="s">
        <v>35</v>
      </c>
      <c r="B33" s="81">
        <f>AE33</f>
        <v>102.04729406213771</v>
      </c>
      <c r="C33" s="70" t="s">
        <v>26</v>
      </c>
      <c r="D33" s="81">
        <f>B33/2.54</f>
        <v>40.176100024463665</v>
      </c>
      <c r="E33" s="70" t="s">
        <v>28</v>
      </c>
      <c r="J33" s="70" t="s">
        <v>35</v>
      </c>
      <c r="K33" s="82">
        <f>B28*SQRT(B32/1.2)</f>
        <v>102.04729406213771</v>
      </c>
      <c r="L33" s="82">
        <f t="shared" ref="L33:AE33" si="2">$B$28*SQRT(L32/1.2)</f>
        <v>102.04729406213771</v>
      </c>
      <c r="M33" s="82">
        <f t="shared" si="2"/>
        <v>102.04729406213771</v>
      </c>
      <c r="N33" s="82">
        <f t="shared" si="2"/>
        <v>102.04729406213771</v>
      </c>
      <c r="O33" s="82">
        <f t="shared" si="2"/>
        <v>102.04729406213771</v>
      </c>
      <c r="P33" s="82">
        <f t="shared" si="2"/>
        <v>102.04729406213771</v>
      </c>
      <c r="Q33" s="82">
        <f t="shared" si="2"/>
        <v>102.04729406213771</v>
      </c>
      <c r="R33" s="82">
        <f t="shared" si="2"/>
        <v>102.04729406213771</v>
      </c>
      <c r="S33" s="82">
        <f t="shared" si="2"/>
        <v>102.04729406213771</v>
      </c>
      <c r="T33" s="82">
        <f t="shared" si="2"/>
        <v>102.04729406213771</v>
      </c>
      <c r="U33" s="82">
        <f t="shared" si="2"/>
        <v>102.04729406213771</v>
      </c>
      <c r="V33" s="82">
        <f t="shared" si="2"/>
        <v>102.04729406213771</v>
      </c>
      <c r="W33" s="82">
        <f t="shared" si="2"/>
        <v>102.04729406213771</v>
      </c>
      <c r="X33" s="82">
        <f t="shared" si="2"/>
        <v>102.04729406213771</v>
      </c>
      <c r="Y33" s="82">
        <f t="shared" si="2"/>
        <v>102.04729406213771</v>
      </c>
      <c r="Z33" s="82">
        <f t="shared" si="2"/>
        <v>102.04729406213771</v>
      </c>
      <c r="AA33" s="82">
        <f t="shared" si="2"/>
        <v>102.04729406213771</v>
      </c>
      <c r="AB33" s="82">
        <f t="shared" si="2"/>
        <v>102.04729406213771</v>
      </c>
      <c r="AC33" s="82">
        <f t="shared" si="2"/>
        <v>102.04729406213771</v>
      </c>
      <c r="AD33" s="82">
        <f t="shared" si="2"/>
        <v>102.04729406213771</v>
      </c>
      <c r="AE33" s="82">
        <f t="shared" si="2"/>
        <v>102.04729406213771</v>
      </c>
    </row>
    <row r="34" spans="1:31">
      <c r="A34" s="70" t="s">
        <v>86</v>
      </c>
      <c r="B34" s="86">
        <f>IF(31.32*B27^0.33-155.45&lt;=0,"NONE",31.32*B27^0.33-155.45)</f>
        <v>106.6220172100841</v>
      </c>
      <c r="C34" s="70" t="s">
        <v>26</v>
      </c>
      <c r="D34" s="81">
        <f>IF(B34="NONE","",B34/2.54)</f>
        <v>41.977172129954369</v>
      </c>
      <c r="E34" s="70" t="s">
        <v>28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>
      <c r="A35" s="70" t="s">
        <v>87</v>
      </c>
      <c r="B35" s="86">
        <f>IF(49.29*B27^0.33-5.09&lt;=0,"NONE",49.29*B27^0.33-5.09)</f>
        <v>407.34709221855189</v>
      </c>
      <c r="C35" s="70" t="s">
        <v>26</v>
      </c>
      <c r="D35" s="81">
        <f>IF(B35="NONE","",B35/2.54)</f>
        <v>160.37287095218579</v>
      </c>
      <c r="E35" s="70" t="s">
        <v>28</v>
      </c>
    </row>
    <row r="36" spans="1:31" s="87" customFormat="1">
      <c r="B36" s="88"/>
      <c r="D36" s="88"/>
    </row>
    <row r="37" spans="1:31">
      <c r="A37" s="70" t="s">
        <v>36</v>
      </c>
    </row>
    <row r="38" spans="1:31">
      <c r="A38" s="70" t="s">
        <v>37</v>
      </c>
    </row>
    <row r="39" spans="1:31">
      <c r="A39" s="70" t="s">
        <v>38</v>
      </c>
    </row>
    <row r="40" spans="1:31">
      <c r="A40" s="70" t="s">
        <v>39</v>
      </c>
    </row>
    <row r="41" spans="1:31">
      <c r="A41" s="70" t="s">
        <v>40</v>
      </c>
    </row>
    <row r="42" spans="1:31">
      <c r="A42" s="70" t="s">
        <v>41</v>
      </c>
    </row>
    <row r="43" spans="1:31">
      <c r="A43" s="70" t="s">
        <v>42</v>
      </c>
    </row>
    <row r="44" spans="1:31">
      <c r="A44" s="70" t="s">
        <v>43</v>
      </c>
    </row>
    <row r="45" spans="1:31">
      <c r="A45" s="70" t="s">
        <v>88</v>
      </c>
    </row>
    <row r="46" spans="1:31">
      <c r="A46" s="70" t="s">
        <v>89</v>
      </c>
    </row>
    <row r="47" spans="1:31">
      <c r="A47" s="107" t="s">
        <v>188</v>
      </c>
    </row>
    <row r="48" spans="1:31">
      <c r="A48" s="107" t="s">
        <v>189</v>
      </c>
    </row>
    <row r="49" spans="1:1">
      <c r="A49" s="115" t="s">
        <v>215</v>
      </c>
    </row>
    <row r="50" spans="1:1">
      <c r="A50" s="115" t="s">
        <v>216</v>
      </c>
    </row>
  </sheetData>
  <sheetProtection algorithmName="SHA-512" hashValue="pOm4EkKSwVoo0PPGjMK/NzpWf26vY3aG+Sr0EbhNCVZpu0wf/PljJlafjgKKFYAB13k6cQx+rzAB0zdDRjyQAQ==" saltValue="4K15NdAh5xUb/SBRzJXFfw==" spinCount="100000" sheet="1" objects="1" scenario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Pict="0">
                <anchor moveWithCells="1">
                  <from>
                    <xdr:col>1</xdr:col>
                    <xdr:colOff>419100</xdr:colOff>
                    <xdr:row>16</xdr:row>
                    <xdr:rowOff>182880</xdr:rowOff>
                  </from>
                  <to>
                    <xdr:col>2</xdr:col>
                    <xdr:colOff>563880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Pict="0">
                <anchor moveWithCells="1">
                  <from>
                    <xdr:col>1</xdr:col>
                    <xdr:colOff>419100</xdr:colOff>
                    <xdr:row>18</xdr:row>
                    <xdr:rowOff>7620</xdr:rowOff>
                  </from>
                  <to>
                    <xdr:col>4</xdr:col>
                    <xdr:colOff>182880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Pict="0">
                <anchor moveWithCells="1">
                  <from>
                    <xdr:col>1</xdr:col>
                    <xdr:colOff>419100</xdr:colOff>
                    <xdr:row>19</xdr:row>
                    <xdr:rowOff>7620</xdr:rowOff>
                  </from>
                  <to>
                    <xdr:col>7</xdr:col>
                    <xdr:colOff>586740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Pict="0">
                <anchor moveWithCells="1">
                  <from>
                    <xdr:col>1</xdr:col>
                    <xdr:colOff>419100</xdr:colOff>
                    <xdr:row>20</xdr:row>
                    <xdr:rowOff>7620</xdr:rowOff>
                  </from>
                  <to>
                    <xdr:col>7</xdr:col>
                    <xdr:colOff>411480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Pict="0">
                <anchor moveWithCells="1">
                  <from>
                    <xdr:col>1</xdr:col>
                    <xdr:colOff>426720</xdr:colOff>
                    <xdr:row>21</xdr:row>
                    <xdr:rowOff>7620</xdr:rowOff>
                  </from>
                  <to>
                    <xdr:col>7</xdr:col>
                    <xdr:colOff>198120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9"/>
  <sheetViews>
    <sheetView workbookViewId="0"/>
  </sheetViews>
  <sheetFormatPr defaultColWidth="9" defaultRowHeight="14.4"/>
  <cols>
    <col min="9" max="9" width="9.77734375" customWidth="1"/>
    <col min="10" max="10" width="5.109375" hidden="1" customWidth="1"/>
    <col min="11" max="31" width="5.33203125" hidden="1" customWidth="1"/>
    <col min="32" max="32" width="9.21875" hidden="1" customWidth="1"/>
    <col min="33" max="40" width="9.21875" customWidth="1"/>
  </cols>
  <sheetData>
    <row r="1" spans="1:19" ht="21">
      <c r="A1" s="45" t="s">
        <v>281</v>
      </c>
    </row>
    <row r="2" spans="1:19">
      <c r="A2" s="119" t="s">
        <v>1</v>
      </c>
    </row>
    <row r="3" spans="1:19" ht="6" customHeight="1">
      <c r="A3" s="119"/>
    </row>
    <row r="4" spans="1:19">
      <c r="A4" t="s">
        <v>55</v>
      </c>
    </row>
    <row r="5" spans="1:19">
      <c r="A5" t="s">
        <v>56</v>
      </c>
    </row>
    <row r="6" spans="1:19">
      <c r="A6" t="s">
        <v>282</v>
      </c>
    </row>
    <row r="7" spans="1:19">
      <c r="A7" t="s">
        <v>283</v>
      </c>
    </row>
    <row r="8" spans="1:19">
      <c r="A8" t="s">
        <v>57</v>
      </c>
    </row>
    <row r="9" spans="1:19">
      <c r="A9" t="s">
        <v>58</v>
      </c>
    </row>
    <row r="10" spans="1:19">
      <c r="A10" t="s">
        <v>7</v>
      </c>
    </row>
    <row r="11" spans="1:19">
      <c r="A11" t="s">
        <v>8</v>
      </c>
    </row>
    <row r="12" spans="1:19" ht="6" customHeight="1"/>
    <row r="13" spans="1:19" s="120" customFormat="1">
      <c r="A13" s="119" t="s">
        <v>220</v>
      </c>
      <c r="S13"/>
    </row>
    <row r="14" spans="1:19" s="120" customFormat="1">
      <c r="A14" s="119" t="s">
        <v>221</v>
      </c>
      <c r="J14" s="52"/>
      <c r="K14" s="52"/>
      <c r="L14" s="60"/>
      <c r="S14"/>
    </row>
    <row r="15" spans="1:19" s="120" customFormat="1">
      <c r="A15" s="119" t="s">
        <v>222</v>
      </c>
      <c r="J15" s="52"/>
      <c r="K15" s="121"/>
      <c r="L15" s="60"/>
      <c r="S15"/>
    </row>
    <row r="16" spans="1:19">
      <c r="A16" s="119"/>
      <c r="J16" s="52"/>
      <c r="K16" s="121"/>
      <c r="L16" s="60"/>
      <c r="M16" s="120"/>
    </row>
    <row r="17" spans="1:16">
      <c r="A17" s="119"/>
      <c r="B17" s="122">
        <v>4</v>
      </c>
      <c r="J17" s="52"/>
      <c r="K17" s="121"/>
      <c r="L17" s="60"/>
      <c r="M17" s="120"/>
    </row>
    <row r="18" spans="1:16">
      <c r="A18" s="119"/>
      <c r="J18" s="52"/>
      <c r="K18" s="121"/>
      <c r="L18" s="60"/>
      <c r="M18" s="120"/>
    </row>
    <row r="19" spans="1:16">
      <c r="A19" s="119"/>
      <c r="J19" s="52"/>
      <c r="K19" s="121"/>
      <c r="L19" s="60"/>
      <c r="M19" s="120"/>
    </row>
    <row r="20" spans="1:16">
      <c r="A20" s="119"/>
      <c r="J20" s="52"/>
      <c r="K20" s="121"/>
      <c r="L20" s="60"/>
      <c r="M20" s="120"/>
    </row>
    <row r="21" spans="1:16">
      <c r="A21" s="119"/>
      <c r="J21" s="52"/>
      <c r="K21" s="121"/>
      <c r="L21" s="60"/>
      <c r="M21" s="120"/>
    </row>
    <row r="22" spans="1:16">
      <c r="A22" s="119"/>
      <c r="J22" s="52"/>
      <c r="K22" s="121"/>
      <c r="L22" s="60"/>
      <c r="M22" s="120"/>
    </row>
    <row r="23" spans="1:16">
      <c r="A23" s="65" t="s">
        <v>223</v>
      </c>
      <c r="B23" s="123">
        <v>31</v>
      </c>
      <c r="D23" t="s">
        <v>254</v>
      </c>
      <c r="J23" s="52"/>
      <c r="K23" s="121"/>
      <c r="L23" s="60"/>
      <c r="M23" s="120"/>
    </row>
    <row r="24" spans="1:16">
      <c r="A24" t="s">
        <v>166</v>
      </c>
      <c r="B24" s="123">
        <v>25</v>
      </c>
      <c r="D24" t="s">
        <v>224</v>
      </c>
      <c r="J24" s="52"/>
      <c r="K24" s="121"/>
      <c r="L24" s="60"/>
      <c r="M24" s="120"/>
    </row>
    <row r="25" spans="1:16">
      <c r="A25" s="120" t="s">
        <v>225</v>
      </c>
      <c r="B25" s="125">
        <f>B23*B24</f>
        <v>775</v>
      </c>
      <c r="C25" t="s">
        <v>15</v>
      </c>
      <c r="D25" s="124" t="s">
        <v>226</v>
      </c>
      <c r="J25" s="52"/>
      <c r="K25" s="121"/>
      <c r="L25" s="60"/>
    </row>
    <row r="26" spans="1:16" ht="15.6">
      <c r="A26" s="65" t="s">
        <v>227</v>
      </c>
      <c r="B26" s="126">
        <f>((20+0.534*B45)/B41^0.88)*(1+0.25*EXP(0.525*(B47-0.025))*GESTEP(B47,0.025))</f>
        <v>0.79566034648620065</v>
      </c>
      <c r="C26" s="68" t="s">
        <v>67</v>
      </c>
      <c r="D26" s="136" t="s">
        <v>279</v>
      </c>
      <c r="K26" s="52"/>
      <c r="L26" s="121"/>
      <c r="M26" s="60"/>
    </row>
    <row r="27" spans="1:16">
      <c r="A27" s="65" t="s">
        <v>228</v>
      </c>
      <c r="B27" s="52">
        <f>B41*B26</f>
        <v>102.52505173283042</v>
      </c>
      <c r="C27" t="s">
        <v>15</v>
      </c>
      <c r="D27" t="s">
        <v>280</v>
      </c>
      <c r="J27" s="52"/>
      <c r="K27" s="121"/>
      <c r="L27" s="60"/>
      <c r="M27" s="120"/>
      <c r="P27" s="55"/>
    </row>
    <row r="28" spans="1:16">
      <c r="A28" s="120" t="s">
        <v>45</v>
      </c>
      <c r="B28" s="127">
        <f>IF(B27/B25&gt;1,1,B27/B25)</f>
        <v>0.13229038933268442</v>
      </c>
      <c r="D28" s="124" t="s">
        <v>180</v>
      </c>
      <c r="J28" s="52"/>
      <c r="K28" s="121"/>
      <c r="L28" s="60"/>
      <c r="M28" s="120"/>
    </row>
    <row r="29" spans="1:16">
      <c r="A29" s="65" t="s">
        <v>229</v>
      </c>
      <c r="B29" s="123">
        <v>9.58</v>
      </c>
      <c r="C29" t="s">
        <v>18</v>
      </c>
      <c r="D29" s="124" t="s">
        <v>230</v>
      </c>
      <c r="J29" s="52"/>
      <c r="K29" s="121"/>
      <c r="L29" s="60"/>
    </row>
    <row r="30" spans="1:16">
      <c r="A30" s="131" t="s">
        <v>251</v>
      </c>
      <c r="B30" s="83">
        <v>4.0000000000000002E-4</v>
      </c>
      <c r="C30" s="63" t="s">
        <v>49</v>
      </c>
      <c r="D30" s="124" t="s">
        <v>231</v>
      </c>
    </row>
    <row r="31" spans="1:16">
      <c r="A31" s="131" t="s">
        <v>252</v>
      </c>
      <c r="B31" s="84">
        <v>85</v>
      </c>
      <c r="C31" s="63" t="s">
        <v>50</v>
      </c>
      <c r="D31" t="s">
        <v>253</v>
      </c>
    </row>
    <row r="32" spans="1:16">
      <c r="A32" t="s">
        <v>51</v>
      </c>
      <c r="B32" s="62">
        <f>1-B30*(25-B31)</f>
        <v>1.024</v>
      </c>
      <c r="D32" s="124" t="s">
        <v>232</v>
      </c>
    </row>
    <row r="33" spans="1:35" ht="16.8">
      <c r="A33" s="132" t="s">
        <v>258</v>
      </c>
      <c r="B33" s="123">
        <v>1000</v>
      </c>
      <c r="C33" s="132" t="s">
        <v>255</v>
      </c>
      <c r="D33" s="132" t="s">
        <v>256</v>
      </c>
    </row>
    <row r="34" spans="1:35">
      <c r="A34" s="64" t="s">
        <v>259</v>
      </c>
      <c r="B34" s="123">
        <v>1000</v>
      </c>
      <c r="C34" s="124" t="s">
        <v>196</v>
      </c>
      <c r="D34" s="124" t="s">
        <v>233</v>
      </c>
      <c r="J34" s="52"/>
      <c r="K34" s="121"/>
      <c r="L34" s="60"/>
    </row>
    <row r="35" spans="1:35">
      <c r="A35" s="65"/>
      <c r="B35" s="128">
        <f>B34*3.28084</f>
        <v>3280.84</v>
      </c>
      <c r="C35" s="124" t="s">
        <v>234</v>
      </c>
      <c r="D35" s="124" t="s">
        <v>235</v>
      </c>
      <c r="J35" s="52"/>
      <c r="K35" s="121"/>
      <c r="L35" s="60"/>
      <c r="M35" s="120"/>
      <c r="O35" s="52"/>
      <c r="P35" s="52"/>
      <c r="R35" s="53"/>
      <c r="AI35" s="52"/>
    </row>
    <row r="36" spans="1:35" ht="15.6">
      <c r="A36" s="64" t="s">
        <v>257</v>
      </c>
      <c r="B36" s="128">
        <f>1.1*1397.6*(0.7*(1-0.14*B34/1000)+0.11*B34/1000)</f>
        <v>1094.60032</v>
      </c>
      <c r="C36" s="124"/>
      <c r="D36" s="132" t="s">
        <v>260</v>
      </c>
      <c r="J36" s="52"/>
      <c r="K36" s="121"/>
      <c r="L36" s="60"/>
      <c r="M36" s="120"/>
      <c r="O36" s="52"/>
      <c r="P36" s="52"/>
      <c r="R36" s="53"/>
      <c r="AI36" s="52"/>
    </row>
    <row r="37" spans="1:35">
      <c r="A37" s="65" t="s">
        <v>236</v>
      </c>
      <c r="B37" s="62">
        <f>B36/B33</f>
        <v>1.0946003200000001</v>
      </c>
      <c r="C37" s="124"/>
      <c r="D37" s="132" t="s">
        <v>270</v>
      </c>
      <c r="J37" s="52"/>
      <c r="K37" s="121"/>
      <c r="L37" s="60"/>
      <c r="M37" s="120"/>
      <c r="O37" s="52"/>
      <c r="P37" s="52"/>
      <c r="R37" s="53"/>
      <c r="AI37" s="52"/>
    </row>
    <row r="38" spans="1:35">
      <c r="A38" s="65" t="s">
        <v>237</v>
      </c>
      <c r="B38" s="129">
        <f>B29*B32*B37</f>
        <v>10.737941571174401</v>
      </c>
      <c r="C38" t="s">
        <v>18</v>
      </c>
      <c r="D38" s="124" t="s">
        <v>238</v>
      </c>
      <c r="J38" s="52"/>
      <c r="K38" s="121"/>
      <c r="L38" s="60"/>
      <c r="M38" s="120"/>
    </row>
    <row r="39" spans="1:35">
      <c r="A39" s="65" t="s">
        <v>239</v>
      </c>
      <c r="B39" s="123">
        <v>12</v>
      </c>
      <c r="D39" t="s">
        <v>240</v>
      </c>
      <c r="J39" s="52"/>
      <c r="K39" s="121"/>
      <c r="L39" s="60"/>
    </row>
    <row r="40" spans="1:35">
      <c r="A40" s="65" t="s">
        <v>241</v>
      </c>
      <c r="B40" s="125">
        <f>B38*B39</f>
        <v>128.85529885409281</v>
      </c>
      <c r="C40" t="s">
        <v>18</v>
      </c>
      <c r="D40" t="s">
        <v>242</v>
      </c>
      <c r="J40" s="52"/>
      <c r="K40" s="121"/>
      <c r="L40" s="60"/>
      <c r="M40" s="120"/>
    </row>
    <row r="41" spans="1:35">
      <c r="A41" s="120" t="s">
        <v>243</v>
      </c>
      <c r="B41" s="130">
        <f>IF(B40&gt;B42,B40,B42)</f>
        <v>128.85529885409281</v>
      </c>
      <c r="C41" t="s">
        <v>18</v>
      </c>
      <c r="D41" t="s">
        <v>65</v>
      </c>
      <c r="J41" s="52"/>
      <c r="K41" s="121"/>
      <c r="L41" s="60"/>
      <c r="M41" s="120"/>
      <c r="R41" s="52"/>
    </row>
    <row r="42" spans="1:35">
      <c r="A42" s="65" t="s">
        <v>244</v>
      </c>
      <c r="B42" s="130">
        <f>10+0.2*B45</f>
        <v>15.08</v>
      </c>
      <c r="C42" t="s">
        <v>18</v>
      </c>
      <c r="D42" s="124" t="s">
        <v>171</v>
      </c>
      <c r="J42" s="52"/>
      <c r="K42" s="121"/>
      <c r="L42" s="60"/>
      <c r="M42" s="120"/>
      <c r="R42" s="52"/>
    </row>
    <row r="43" spans="1:35">
      <c r="A43" s="65" t="s">
        <v>245</v>
      </c>
      <c r="B43" s="49">
        <f>(20+0.534*B45)*B42^0.12</f>
        <v>46.481132144440508</v>
      </c>
      <c r="C43" s="124" t="s">
        <v>15</v>
      </c>
      <c r="D43" s="124" t="s">
        <v>172</v>
      </c>
      <c r="J43" s="52"/>
      <c r="K43" s="121"/>
      <c r="L43" s="60"/>
      <c r="M43" s="120"/>
      <c r="O43" s="52"/>
      <c r="P43" s="52"/>
      <c r="R43" s="53"/>
      <c r="AI43" s="52"/>
    </row>
    <row r="44" spans="1:35">
      <c r="A44" s="120" t="s">
        <v>47</v>
      </c>
      <c r="B44" s="127">
        <f>B41/B40</f>
        <v>1</v>
      </c>
      <c r="D44" t="s">
        <v>48</v>
      </c>
      <c r="J44" s="52"/>
      <c r="K44" s="121"/>
      <c r="L44" s="60"/>
      <c r="M44" s="120"/>
      <c r="O44" s="52"/>
      <c r="R44" s="53"/>
      <c r="AI44" s="52"/>
    </row>
    <row r="45" spans="1:35">
      <c r="A45" t="s">
        <v>69</v>
      </c>
      <c r="B45" s="123">
        <v>25.4</v>
      </c>
      <c r="C45" t="s">
        <v>70</v>
      </c>
      <c r="D45" t="s">
        <v>71</v>
      </c>
      <c r="J45" s="52"/>
      <c r="K45" s="121"/>
      <c r="L45" s="60"/>
      <c r="M45" s="120"/>
    </row>
    <row r="46" spans="1:35">
      <c r="B46" s="55">
        <f>B45/25.4</f>
        <v>1</v>
      </c>
      <c r="C46" t="s">
        <v>28</v>
      </c>
      <c r="J46" s="52"/>
      <c r="K46" s="121"/>
      <c r="L46" s="60"/>
      <c r="M46" s="120"/>
    </row>
    <row r="47" spans="1:35">
      <c r="A47" t="s">
        <v>246</v>
      </c>
      <c r="B47" s="123">
        <v>2</v>
      </c>
      <c r="C47" t="s">
        <v>23</v>
      </c>
      <c r="D47" t="s">
        <v>24</v>
      </c>
      <c r="J47" s="52"/>
      <c r="K47" s="121"/>
      <c r="L47" s="60"/>
      <c r="M47" s="120"/>
    </row>
    <row r="48" spans="1:35">
      <c r="A48" t="s">
        <v>25</v>
      </c>
      <c r="B48" s="123">
        <v>61</v>
      </c>
      <c r="C48" t="s">
        <v>26</v>
      </c>
      <c r="D48" t="s">
        <v>27</v>
      </c>
      <c r="J48" s="52"/>
      <c r="K48" s="121"/>
      <c r="L48" s="60"/>
    </row>
    <row r="49" spans="1:40">
      <c r="B49" s="53">
        <f>B48/2.54</f>
        <v>24.015748031496063</v>
      </c>
      <c r="C49" t="s">
        <v>28</v>
      </c>
    </row>
    <row r="50" spans="1:40">
      <c r="A50" t="s">
        <v>247</v>
      </c>
      <c r="B50" s="55">
        <f>IF(CHOOSE($B$17,1,3,5.22761/(1+(95/B48)^2),3.9207/(1+(40/B48)^2),1.59593/(1+(10/B48)^2))&lt;1,1,CHOOSE($B$17,1,3,5.22761/(1+(95/B48)^2),3.9207/(1+(40/B48)^2),1.59593/(1+(10/B48)^2)))</f>
        <v>2.7417637098289798</v>
      </c>
      <c r="D50" t="s">
        <v>30</v>
      </c>
    </row>
    <row r="51" spans="1:40">
      <c r="A51" t="s">
        <v>248</v>
      </c>
      <c r="B51" s="55">
        <f>AE51</f>
        <v>1</v>
      </c>
      <c r="D51" t="s">
        <v>32</v>
      </c>
      <c r="J51" t="s">
        <v>248</v>
      </c>
      <c r="K51" s="55">
        <f>B50</f>
        <v>2.7417637098289798</v>
      </c>
      <c r="L51" s="55">
        <f>IF(CHOOSE($B$17,1,3,5.22761/(1+(95/K53)^2),3.9207/(1+(40/K53)^2),1.59593/(1+(10/K53)^2))&lt;1,1,CHOOSE($B$17,1,3,5.22761/(1+(95/K53)^2),3.9207/(1+(40/K53)^2),1.59593/(1+(10/K53)^2)))</f>
        <v>1.6861830501530566</v>
      </c>
      <c r="M51" s="55">
        <f t="shared" ref="M51:AE51" si="0">IF(CHOOSE($B$17,1,3,5.22761/(1+(95/L53)^2),3.9207/(1+(40/L53)^2),1.59593/(1+(10/L53)^2))&lt;1,1,CHOOSE($B$17,1,3,5.22761/(1+(95/L53)^2),3.9207/(1+(40/L53)^2),1.59593/(1+(10/L53)^2)))</f>
        <v>1.2427782504159255</v>
      </c>
      <c r="N51" s="55">
        <f t="shared" si="0"/>
        <v>1</v>
      </c>
      <c r="O51" s="55">
        <f t="shared" si="0"/>
        <v>1</v>
      </c>
      <c r="P51" s="55">
        <f t="shared" si="0"/>
        <v>1</v>
      </c>
      <c r="Q51" s="55">
        <f t="shared" si="0"/>
        <v>1</v>
      </c>
      <c r="R51" s="55">
        <f t="shared" si="0"/>
        <v>1</v>
      </c>
      <c r="S51" s="55">
        <f t="shared" si="0"/>
        <v>1</v>
      </c>
      <c r="T51" s="55">
        <f t="shared" si="0"/>
        <v>1</v>
      </c>
      <c r="U51" s="55">
        <f t="shared" si="0"/>
        <v>1</v>
      </c>
      <c r="V51" s="55">
        <f t="shared" si="0"/>
        <v>1</v>
      </c>
      <c r="W51" s="55">
        <f t="shared" si="0"/>
        <v>1</v>
      </c>
      <c r="X51" s="55">
        <f t="shared" si="0"/>
        <v>1</v>
      </c>
      <c r="Y51" s="55">
        <f t="shared" si="0"/>
        <v>1</v>
      </c>
      <c r="Z51" s="55">
        <f t="shared" si="0"/>
        <v>1</v>
      </c>
      <c r="AA51" s="55">
        <f t="shared" si="0"/>
        <v>1</v>
      </c>
      <c r="AB51" s="55">
        <f t="shared" si="0"/>
        <v>1</v>
      </c>
      <c r="AC51" s="55">
        <f t="shared" si="0"/>
        <v>1</v>
      </c>
      <c r="AD51" s="55">
        <f t="shared" si="0"/>
        <v>1</v>
      </c>
      <c r="AE51" s="55">
        <f t="shared" si="0"/>
        <v>1</v>
      </c>
    </row>
    <row r="52" spans="1:40" ht="16.2">
      <c r="A52" t="s">
        <v>249</v>
      </c>
      <c r="B52" s="56">
        <f>IF(B27&gt;B43,0.02*B27*B41*B47/B48^2*B50,0.02*B43*B42*B47/B48^2*B50)</f>
        <v>0.38937012333848747</v>
      </c>
      <c r="C52" t="s">
        <v>250</v>
      </c>
      <c r="J52" t="s">
        <v>249</v>
      </c>
      <c r="K52" s="55">
        <f>B52</f>
        <v>0.38937012333848747</v>
      </c>
      <c r="L52" s="55">
        <f>K52/K51*L51</f>
        <v>0.23946239417193085</v>
      </c>
      <c r="M52" s="55">
        <f t="shared" ref="M52:AE52" si="1">L52/L51*M51</f>
        <v>0.17649249602075387</v>
      </c>
      <c r="N52" s="55">
        <f t="shared" si="1"/>
        <v>0.14201447117511626</v>
      </c>
      <c r="O52" s="55">
        <f t="shared" si="1"/>
        <v>0.14201447117511626</v>
      </c>
      <c r="P52" s="55">
        <f t="shared" si="1"/>
        <v>0.14201447117511626</v>
      </c>
      <c r="Q52" s="55">
        <f t="shared" si="1"/>
        <v>0.14201447117511626</v>
      </c>
      <c r="R52" s="55">
        <f t="shared" si="1"/>
        <v>0.14201447117511626</v>
      </c>
      <c r="S52" s="55">
        <f t="shared" si="1"/>
        <v>0.14201447117511626</v>
      </c>
      <c r="T52" s="55">
        <f t="shared" si="1"/>
        <v>0.14201447117511626</v>
      </c>
      <c r="U52" s="55">
        <f t="shared" si="1"/>
        <v>0.14201447117511626</v>
      </c>
      <c r="V52" s="55">
        <f t="shared" si="1"/>
        <v>0.14201447117511626</v>
      </c>
      <c r="W52" s="55">
        <f t="shared" si="1"/>
        <v>0.14201447117511626</v>
      </c>
      <c r="X52" s="55">
        <f t="shared" si="1"/>
        <v>0.14201447117511626</v>
      </c>
      <c r="Y52" s="55">
        <f t="shared" si="1"/>
        <v>0.14201447117511626</v>
      </c>
      <c r="Z52" s="55">
        <f t="shared" si="1"/>
        <v>0.14201447117511626</v>
      </c>
      <c r="AA52" s="55">
        <f t="shared" si="1"/>
        <v>0.14201447117511626</v>
      </c>
      <c r="AB52" s="55">
        <f t="shared" si="1"/>
        <v>0.14201447117511626</v>
      </c>
      <c r="AC52" s="55">
        <f t="shared" si="1"/>
        <v>0.14201447117511626</v>
      </c>
      <c r="AD52" s="55">
        <f t="shared" si="1"/>
        <v>0.14201447117511626</v>
      </c>
      <c r="AE52" s="55">
        <f t="shared" si="1"/>
        <v>0.14201447117511626</v>
      </c>
    </row>
    <row r="53" spans="1:40">
      <c r="A53" t="s">
        <v>35</v>
      </c>
      <c r="B53" s="57">
        <f>AE53</f>
        <v>20.984832761675904</v>
      </c>
      <c r="C53" t="s">
        <v>26</v>
      </c>
      <c r="D53" s="57">
        <f>B53/2.54</f>
        <v>8.2617451817621674</v>
      </c>
      <c r="E53" t="s">
        <v>28</v>
      </c>
      <c r="J53" t="s">
        <v>35</v>
      </c>
      <c r="K53" s="52">
        <f>B48*SQRT(B52/1.2)</f>
        <v>34.747256833483895</v>
      </c>
      <c r="L53" s="52">
        <f>$B$48*SQRT(L52/1.2)</f>
        <v>27.24945823182782</v>
      </c>
      <c r="M53" s="52">
        <f t="shared" ref="M53:AE53" si="2">$B$48*SQRT(M52/1.2)</f>
        <v>23.393884131207333</v>
      </c>
      <c r="N53" s="52">
        <f t="shared" si="2"/>
        <v>20.984832761675904</v>
      </c>
      <c r="O53" s="52">
        <f t="shared" si="2"/>
        <v>20.984832761675904</v>
      </c>
      <c r="P53" s="52">
        <f t="shared" si="2"/>
        <v>20.984832761675904</v>
      </c>
      <c r="Q53" s="52">
        <f t="shared" si="2"/>
        <v>20.984832761675904</v>
      </c>
      <c r="R53" s="52">
        <f t="shared" si="2"/>
        <v>20.984832761675904</v>
      </c>
      <c r="S53" s="52">
        <f t="shared" si="2"/>
        <v>20.984832761675904</v>
      </c>
      <c r="T53" s="52">
        <f t="shared" si="2"/>
        <v>20.984832761675904</v>
      </c>
      <c r="U53" s="52">
        <f t="shared" si="2"/>
        <v>20.984832761675904</v>
      </c>
      <c r="V53" s="52">
        <f t="shared" si="2"/>
        <v>20.984832761675904</v>
      </c>
      <c r="W53" s="52">
        <f t="shared" si="2"/>
        <v>20.984832761675904</v>
      </c>
      <c r="X53" s="52">
        <f t="shared" si="2"/>
        <v>20.984832761675904</v>
      </c>
      <c r="Y53" s="52">
        <f t="shared" si="2"/>
        <v>20.984832761675904</v>
      </c>
      <c r="Z53" s="52">
        <f t="shared" si="2"/>
        <v>20.984832761675904</v>
      </c>
      <c r="AA53" s="52">
        <f t="shared" si="2"/>
        <v>20.984832761675904</v>
      </c>
      <c r="AB53" s="52">
        <f t="shared" si="2"/>
        <v>20.984832761675904</v>
      </c>
      <c r="AC53" s="52">
        <f t="shared" si="2"/>
        <v>20.984832761675904</v>
      </c>
      <c r="AD53" s="52">
        <f t="shared" si="2"/>
        <v>20.984832761675904</v>
      </c>
      <c r="AE53" s="52">
        <f t="shared" si="2"/>
        <v>20.984832761675904</v>
      </c>
    </row>
    <row r="54" spans="1:40">
      <c r="B54" s="58"/>
      <c r="C54" s="59"/>
      <c r="D54" s="58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>
      <c r="A55" t="s">
        <v>36</v>
      </c>
    </row>
    <row r="56" spans="1:40">
      <c r="A56" t="s">
        <v>37</v>
      </c>
    </row>
    <row r="57" spans="1:40">
      <c r="A57" t="s">
        <v>38</v>
      </c>
    </row>
    <row r="58" spans="1:40">
      <c r="A58" t="s">
        <v>39</v>
      </c>
    </row>
    <row r="59" spans="1:40">
      <c r="A59" t="s">
        <v>40</v>
      </c>
    </row>
    <row r="60" spans="1:40">
      <c r="A60" t="s">
        <v>41</v>
      </c>
    </row>
    <row r="61" spans="1:40">
      <c r="A61" t="s">
        <v>42</v>
      </c>
    </row>
    <row r="62" spans="1:40">
      <c r="A62" t="s">
        <v>43</v>
      </c>
    </row>
    <row r="63" spans="1:40">
      <c r="A63" t="s">
        <v>284</v>
      </c>
    </row>
    <row r="64" spans="1:40">
      <c r="A64" s="133" t="s">
        <v>285</v>
      </c>
    </row>
    <row r="65" spans="1:1">
      <c r="A65" s="132" t="s">
        <v>261</v>
      </c>
    </row>
    <row r="66" spans="1:1">
      <c r="A66" s="133" t="s">
        <v>262</v>
      </c>
    </row>
    <row r="67" spans="1:1">
      <c r="A67" s="132" t="s">
        <v>263</v>
      </c>
    </row>
    <row r="68" spans="1:1">
      <c r="A68" s="133" t="s">
        <v>264</v>
      </c>
    </row>
    <row r="69" spans="1:1">
      <c r="A69" s="132"/>
    </row>
  </sheetData>
  <sheetProtection algorithmName="SHA-512" hashValue="Y/ZoMKGnk9WUKBJG0orsA9y7lmnIhqlLfz/4YXJC2rUVR3PAwaMefLfO3hPd8Ao0fklLJyXSo1DFWtsVMlolHg==" saltValue="XfEmwim7mZwf/nJHzG/qsw==" spinCount="100000" sheet="1" objects="1" scenarios="1"/>
  <pageMargins left="0.7" right="0.7" top="0.75" bottom="0.75" header="0.3" footer="0.3"/>
  <pageSetup orientation="portrait" r:id="rId1"/>
  <ignoredErrors>
    <ignoredError sqref="B5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defaultSize="0" autoPict="0">
                <anchor moveWithCells="1">
                  <from>
                    <xdr:col>1</xdr:col>
                    <xdr:colOff>419100</xdr:colOff>
                    <xdr:row>15</xdr:row>
                    <xdr:rowOff>182880</xdr:rowOff>
                  </from>
                  <to>
                    <xdr:col>3</xdr:col>
                    <xdr:colOff>266700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Pict="0">
                <anchor moveWithCells="1">
                  <from>
                    <xdr:col>1</xdr:col>
                    <xdr:colOff>419100</xdr:colOff>
                    <xdr:row>17</xdr:row>
                    <xdr:rowOff>15240</xdr:rowOff>
                  </from>
                  <to>
                    <xdr:col>4</xdr:col>
                    <xdr:colOff>518160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Pict="0">
                <anchor moveWithCells="1">
                  <from>
                    <xdr:col>1</xdr:col>
                    <xdr:colOff>419100</xdr:colOff>
                    <xdr:row>18</xdr:row>
                    <xdr:rowOff>15240</xdr:rowOff>
                  </from>
                  <to>
                    <xdr:col>32</xdr:col>
                    <xdr:colOff>60960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Option Button 4">
              <controlPr defaultSize="0" autoPict="0">
                <anchor moveWithCells="1">
                  <from>
                    <xdr:col>1</xdr:col>
                    <xdr:colOff>419100</xdr:colOff>
                    <xdr:row>19</xdr:row>
                    <xdr:rowOff>15240</xdr:rowOff>
                  </from>
                  <to>
                    <xdr:col>8</xdr:col>
                    <xdr:colOff>441960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5">
              <controlPr defaultSize="0" autoPict="0">
                <anchor moveWithCells="1">
                  <from>
                    <xdr:col>1</xdr:col>
                    <xdr:colOff>419100</xdr:colOff>
                    <xdr:row>20</xdr:row>
                    <xdr:rowOff>15240</xdr:rowOff>
                  </from>
                  <to>
                    <xdr:col>8</xdr:col>
                    <xdr:colOff>327660</xdr:colOff>
                    <xdr:row>21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zoomScale="115" zoomScaleNormal="115" workbookViewId="0"/>
  </sheetViews>
  <sheetFormatPr defaultColWidth="9" defaultRowHeight="14.4"/>
  <cols>
    <col min="1" max="2" width="9" style="70"/>
    <col min="3" max="3" width="18.6640625" style="70" customWidth="1"/>
    <col min="4" max="4" width="14.44140625" style="70" customWidth="1"/>
    <col min="5" max="6" width="12.5546875" style="70" customWidth="1"/>
    <col min="7" max="16384" width="9" style="70"/>
  </cols>
  <sheetData>
    <row r="1" spans="1:3">
      <c r="A1" s="70" t="s">
        <v>111</v>
      </c>
    </row>
    <row r="3" spans="1:3">
      <c r="A3" s="70" t="s">
        <v>36</v>
      </c>
    </row>
    <row r="4" spans="1:3">
      <c r="A4" s="99" t="s">
        <v>300</v>
      </c>
    </row>
    <row r="5" spans="1:3" ht="15.6">
      <c r="B5" s="70" t="s">
        <v>112</v>
      </c>
      <c r="C5" s="70" t="s">
        <v>113</v>
      </c>
    </row>
    <row r="6" spans="1:3" ht="16.8">
      <c r="C6" s="70" t="s">
        <v>114</v>
      </c>
    </row>
    <row r="8" spans="1:3" ht="15.6">
      <c r="C8" s="70" t="s">
        <v>115</v>
      </c>
    </row>
    <row r="9" spans="1:3" ht="15.6">
      <c r="C9" s="70" t="s">
        <v>116</v>
      </c>
    </row>
    <row r="10" spans="1:3" ht="16.8">
      <c r="C10" s="70" t="s">
        <v>117</v>
      </c>
    </row>
    <row r="11" spans="1:3" ht="15.6">
      <c r="C11" s="70" t="s">
        <v>118</v>
      </c>
    </row>
    <row r="12" spans="1:3" ht="15.6">
      <c r="C12" s="70" t="s">
        <v>119</v>
      </c>
    </row>
    <row r="13" spans="1:3">
      <c r="C13" s="70" t="s">
        <v>120</v>
      </c>
    </row>
    <row r="16" spans="1:3">
      <c r="A16" s="102" t="s">
        <v>38</v>
      </c>
    </row>
    <row r="17" spans="1:3">
      <c r="A17" s="103" t="s">
        <v>181</v>
      </c>
    </row>
    <row r="18" spans="1:3" ht="16.8">
      <c r="B18" s="97" t="s">
        <v>122</v>
      </c>
      <c r="C18" s="70" t="s">
        <v>123</v>
      </c>
    </row>
    <row r="20" spans="1:3" ht="16.8">
      <c r="C20" s="70" t="s">
        <v>124</v>
      </c>
    </row>
    <row r="21" spans="1:3" ht="15.6">
      <c r="C21" s="70" t="s">
        <v>125</v>
      </c>
    </row>
    <row r="22" spans="1:3" ht="15.6">
      <c r="C22" s="70" t="s">
        <v>118</v>
      </c>
    </row>
    <row r="23" spans="1:3" ht="15.6">
      <c r="C23" s="70" t="s">
        <v>119</v>
      </c>
    </row>
    <row r="24" spans="1:3">
      <c r="C24" s="70" t="s">
        <v>120</v>
      </c>
    </row>
    <row r="25" spans="1:3" ht="15.6">
      <c r="C25" s="70" t="s">
        <v>121</v>
      </c>
    </row>
    <row r="27" spans="1:3">
      <c r="A27" s="70" t="s">
        <v>40</v>
      </c>
    </row>
    <row r="28" spans="1:3">
      <c r="A28" s="70" t="s">
        <v>41</v>
      </c>
    </row>
    <row r="30" spans="1:3" ht="16.8">
      <c r="C30" s="70" t="s">
        <v>126</v>
      </c>
    </row>
    <row r="32" spans="1:3" ht="15.6">
      <c r="C32" s="70" t="s">
        <v>127</v>
      </c>
    </row>
    <row r="33" spans="1:8" ht="15.6">
      <c r="C33" s="70" t="s">
        <v>128</v>
      </c>
    </row>
    <row r="34" spans="1:8">
      <c r="C34" s="70" t="s">
        <v>129</v>
      </c>
    </row>
    <row r="35" spans="1:8">
      <c r="C35" s="70" t="s">
        <v>130</v>
      </c>
    </row>
    <row r="37" spans="1:8">
      <c r="C37" s="98" t="s">
        <v>131</v>
      </c>
      <c r="D37" s="98" t="s">
        <v>132</v>
      </c>
      <c r="E37" s="98" t="s">
        <v>133</v>
      </c>
      <c r="F37" s="98" t="s">
        <v>134</v>
      </c>
      <c r="G37" s="98" t="s">
        <v>135</v>
      </c>
      <c r="H37" s="98" t="s">
        <v>136</v>
      </c>
    </row>
    <row r="38" spans="1:8">
      <c r="C38" s="98" t="s">
        <v>137</v>
      </c>
      <c r="D38" s="98">
        <v>305</v>
      </c>
      <c r="E38" s="98">
        <v>356</v>
      </c>
      <c r="F38" s="98">
        <v>191</v>
      </c>
      <c r="G38" s="98">
        <v>100</v>
      </c>
      <c r="H38" s="98">
        <v>0.127</v>
      </c>
    </row>
    <row r="39" spans="1:8">
      <c r="C39" s="98" t="s">
        <v>138</v>
      </c>
      <c r="D39" s="98">
        <v>508</v>
      </c>
      <c r="E39" s="98">
        <v>508</v>
      </c>
      <c r="F39" s="98">
        <v>508</v>
      </c>
      <c r="G39" s="98">
        <v>400</v>
      </c>
      <c r="H39" s="98">
        <v>0.312</v>
      </c>
    </row>
    <row r="40" spans="1:8">
      <c r="C40" s="98" t="s">
        <v>139</v>
      </c>
      <c r="D40" s="98">
        <v>1143</v>
      </c>
      <c r="E40" s="98">
        <v>762</v>
      </c>
      <c r="F40" s="98">
        <v>762</v>
      </c>
      <c r="G40" s="98">
        <v>950</v>
      </c>
      <c r="H40" s="98">
        <v>0.41599999999999998</v>
      </c>
    </row>
    <row r="42" spans="1:8">
      <c r="A42" s="104" t="s">
        <v>42</v>
      </c>
    </row>
    <row r="43" spans="1:8">
      <c r="A43" s="105" t="s">
        <v>182</v>
      </c>
    </row>
    <row r="45" spans="1:8">
      <c r="B45" s="70" t="s">
        <v>140</v>
      </c>
    </row>
    <row r="46" spans="1:8" ht="16.8">
      <c r="B46" s="97" t="s">
        <v>141</v>
      </c>
      <c r="C46" s="70" t="s">
        <v>142</v>
      </c>
    </row>
    <row r="47" spans="1:8" ht="15.6">
      <c r="C47" s="70" t="s">
        <v>143</v>
      </c>
    </row>
    <row r="49" spans="1:3" ht="15.6">
      <c r="C49" s="70" t="s">
        <v>144</v>
      </c>
    </row>
    <row r="50" spans="1:3" ht="15.6">
      <c r="C50" s="70" t="s">
        <v>115</v>
      </c>
    </row>
    <row r="51" spans="1:3" ht="15.6">
      <c r="C51" s="70" t="s">
        <v>145</v>
      </c>
    </row>
    <row r="52" spans="1:3" ht="15.6">
      <c r="C52" s="70" t="s">
        <v>146</v>
      </c>
    </row>
    <row r="55" spans="1:3">
      <c r="A55" s="70" t="s">
        <v>52</v>
      </c>
    </row>
    <row r="56" spans="1:3">
      <c r="A56" s="70" t="s">
        <v>53</v>
      </c>
    </row>
    <row r="58" spans="1:3" ht="16.8">
      <c r="B58" s="70" t="s">
        <v>147</v>
      </c>
      <c r="C58" s="70" t="s">
        <v>148</v>
      </c>
    </row>
    <row r="59" spans="1:3" ht="15.6">
      <c r="B59" s="70" t="s">
        <v>149</v>
      </c>
      <c r="C59" s="70" t="s">
        <v>150</v>
      </c>
    </row>
    <row r="61" spans="1:3" ht="15.6">
      <c r="C61" s="70" t="s">
        <v>151</v>
      </c>
    </row>
    <row r="62" spans="1:3" ht="15.6">
      <c r="C62" s="70" t="s">
        <v>152</v>
      </c>
    </row>
    <row r="63" spans="1:3" ht="15.6">
      <c r="C63" s="70" t="s">
        <v>153</v>
      </c>
    </row>
    <row r="64" spans="1:3" ht="15.6">
      <c r="C64" s="70" t="s">
        <v>115</v>
      </c>
    </row>
    <row r="65" spans="1:3" ht="15.6">
      <c r="C65" s="70" t="s">
        <v>119</v>
      </c>
    </row>
    <row r="66" spans="1:3">
      <c r="C66" s="70" t="s">
        <v>120</v>
      </c>
    </row>
    <row r="67" spans="1:3" ht="15.6">
      <c r="C67" s="70" t="s">
        <v>154</v>
      </c>
    </row>
    <row r="68" spans="1:3" ht="16.8">
      <c r="C68" s="70" t="s">
        <v>155</v>
      </c>
    </row>
    <row r="70" spans="1:3">
      <c r="A70" s="70" t="s">
        <v>156</v>
      </c>
    </row>
    <row r="71" spans="1:3">
      <c r="A71" s="70" t="s">
        <v>89</v>
      </c>
    </row>
    <row r="73" spans="1:3" ht="16.2">
      <c r="C73" s="101" t="s">
        <v>177</v>
      </c>
    </row>
    <row r="74" spans="1:3" ht="16.8">
      <c r="C74" s="99" t="s">
        <v>157</v>
      </c>
    </row>
    <row r="75" spans="1:3" ht="16.2">
      <c r="C75" s="99" t="s">
        <v>158</v>
      </c>
    </row>
    <row r="77" spans="1:3" ht="16.8">
      <c r="B77" s="97" t="s">
        <v>159</v>
      </c>
      <c r="C77" s="101" t="s">
        <v>175</v>
      </c>
    </row>
    <row r="78" spans="1:3" ht="16.8">
      <c r="B78" s="97" t="s">
        <v>160</v>
      </c>
      <c r="C78" s="101" t="s">
        <v>176</v>
      </c>
    </row>
    <row r="80" spans="1:3">
      <c r="C80" s="70" t="s">
        <v>161</v>
      </c>
    </row>
    <row r="81" spans="1:3">
      <c r="C81" s="70" t="s">
        <v>162</v>
      </c>
    </row>
    <row r="82" spans="1:3">
      <c r="C82" s="70" t="s">
        <v>163</v>
      </c>
    </row>
    <row r="83" spans="1:3" ht="15.6">
      <c r="C83" s="101" t="s">
        <v>178</v>
      </c>
    </row>
    <row r="84" spans="1:3" ht="15.6">
      <c r="C84" s="101" t="s">
        <v>179</v>
      </c>
    </row>
    <row r="86" spans="1:3">
      <c r="A86" s="107" t="s">
        <v>188</v>
      </c>
    </row>
    <row r="87" spans="1:3">
      <c r="A87" s="107" t="s">
        <v>189</v>
      </c>
    </row>
    <row r="89" spans="1:3" ht="16.2">
      <c r="B89" s="110" t="s">
        <v>190</v>
      </c>
      <c r="C89" s="107" t="s">
        <v>191</v>
      </c>
    </row>
    <row r="91" spans="1:3">
      <c r="C91" s="107" t="s">
        <v>192</v>
      </c>
    </row>
    <row r="92" spans="1:3">
      <c r="C92" s="112" t="s">
        <v>205</v>
      </c>
    </row>
    <row r="93" spans="1:3">
      <c r="C93" s="107" t="s">
        <v>193</v>
      </c>
    </row>
    <row r="95" spans="1:3">
      <c r="A95" s="115" t="s">
        <v>215</v>
      </c>
    </row>
    <row r="96" spans="1:3">
      <c r="A96" s="115" t="s">
        <v>216</v>
      </c>
    </row>
    <row r="98" spans="2:3" ht="15.6">
      <c r="B98" s="116" t="s">
        <v>210</v>
      </c>
      <c r="C98" s="115" t="s">
        <v>208</v>
      </c>
    </row>
    <row r="100" spans="2:3">
      <c r="C100" s="112" t="s">
        <v>202</v>
      </c>
    </row>
    <row r="101" spans="2:3" ht="15">
      <c r="C101" s="112" t="s">
        <v>203</v>
      </c>
    </row>
    <row r="102" spans="2:3">
      <c r="C102" s="115" t="s">
        <v>211</v>
      </c>
    </row>
    <row r="103" spans="2:3" ht="16.8">
      <c r="C103" s="115" t="s">
        <v>212</v>
      </c>
    </row>
    <row r="104" spans="2:3">
      <c r="C104" s="107" t="s">
        <v>193</v>
      </c>
    </row>
    <row r="105" spans="2:3" ht="16.8">
      <c r="C105" s="112" t="s">
        <v>204</v>
      </c>
    </row>
    <row r="107" spans="2:3" ht="16.8">
      <c r="B107" s="116" t="s">
        <v>209</v>
      </c>
      <c r="C107" s="115" t="s">
        <v>214</v>
      </c>
    </row>
    <row r="109" spans="2:3">
      <c r="C109" s="115" t="s">
        <v>213</v>
      </c>
    </row>
    <row r="110" spans="2:3">
      <c r="C110" s="118" t="s">
        <v>219</v>
      </c>
    </row>
    <row r="112" spans="2:3" ht="16.8">
      <c r="C112" s="112" t="s">
        <v>206</v>
      </c>
    </row>
    <row r="114" spans="1:8" ht="16.8">
      <c r="C114" s="112" t="s">
        <v>207</v>
      </c>
    </row>
    <row r="116" spans="1:8">
      <c r="C116" s="107" t="s">
        <v>192</v>
      </c>
    </row>
    <row r="118" spans="1:8">
      <c r="A118" s="132" t="s">
        <v>265</v>
      </c>
      <c r="B118"/>
      <c r="C118"/>
      <c r="D118"/>
      <c r="E118"/>
      <c r="F118"/>
      <c r="G118"/>
      <c r="H118"/>
    </row>
    <row r="119" spans="1:8">
      <c r="A119" s="133" t="s">
        <v>262</v>
      </c>
      <c r="B119"/>
      <c r="C119"/>
      <c r="D119"/>
      <c r="E119"/>
      <c r="F119"/>
      <c r="G119"/>
      <c r="H119"/>
    </row>
    <row r="120" spans="1:8">
      <c r="A120" s="133"/>
      <c r="B120"/>
      <c r="C120"/>
      <c r="D120"/>
      <c r="E120"/>
      <c r="F120"/>
      <c r="G120"/>
      <c r="H120"/>
    </row>
    <row r="121" spans="1:8" ht="16.8">
      <c r="A121" s="133"/>
      <c r="B121"/>
      <c r="C121" s="132" t="s">
        <v>266</v>
      </c>
      <c r="D121"/>
      <c r="E121"/>
      <c r="F121"/>
      <c r="G121"/>
      <c r="H121"/>
    </row>
    <row r="122" spans="1:8">
      <c r="A122" s="133"/>
      <c r="B122"/>
      <c r="C122"/>
      <c r="D122"/>
      <c r="E122"/>
      <c r="F122"/>
      <c r="G122"/>
      <c r="H122"/>
    </row>
    <row r="123" spans="1:8">
      <c r="A123" s="133"/>
      <c r="B123"/>
      <c r="C123" t="s">
        <v>268</v>
      </c>
      <c r="D123"/>
      <c r="E123"/>
      <c r="F123"/>
      <c r="G123"/>
      <c r="H123"/>
    </row>
    <row r="124" spans="1:8" ht="15.6">
      <c r="A124" s="133"/>
      <c r="B124"/>
      <c r="C124" s="132" t="s">
        <v>269</v>
      </c>
      <c r="D124"/>
      <c r="E124"/>
      <c r="F124"/>
      <c r="G124"/>
      <c r="H124"/>
    </row>
    <row r="125" spans="1:8" ht="15.6">
      <c r="A125" s="133"/>
      <c r="B125"/>
      <c r="C125" s="132" t="s">
        <v>271</v>
      </c>
      <c r="D125"/>
      <c r="E125"/>
      <c r="F125"/>
      <c r="G125"/>
      <c r="H125"/>
    </row>
    <row r="126" spans="1:8">
      <c r="A126" s="133"/>
      <c r="B126"/>
      <c r="C126" s="132"/>
      <c r="D126"/>
      <c r="E126"/>
      <c r="F126"/>
      <c r="G126"/>
      <c r="H126"/>
    </row>
    <row r="127" spans="1:8" ht="15.6">
      <c r="A127" s="133"/>
      <c r="B127"/>
      <c r="C127" s="132" t="s">
        <v>267</v>
      </c>
      <c r="D127"/>
      <c r="E127"/>
      <c r="F127"/>
      <c r="G127"/>
      <c r="H127"/>
    </row>
    <row r="128" spans="1:8">
      <c r="A128" s="133"/>
      <c r="B128"/>
      <c r="C128" s="132"/>
      <c r="D128"/>
      <c r="E128"/>
      <c r="F128"/>
      <c r="G128"/>
      <c r="H128"/>
    </row>
    <row r="129" spans="1:8" ht="15.6">
      <c r="A129" s="133"/>
      <c r="B129"/>
      <c r="C129" s="132" t="s">
        <v>272</v>
      </c>
      <c r="D129"/>
      <c r="E129"/>
      <c r="F129"/>
      <c r="G129"/>
      <c r="H129"/>
    </row>
    <row r="130" spans="1:8">
      <c r="A130" s="133"/>
      <c r="B130"/>
      <c r="C130" s="132"/>
      <c r="D130"/>
      <c r="E130"/>
      <c r="F130"/>
      <c r="G130"/>
      <c r="H130"/>
    </row>
    <row r="131" spans="1:8" ht="16.8">
      <c r="A131" s="133"/>
      <c r="B131"/>
      <c r="C131" s="132" t="s">
        <v>273</v>
      </c>
      <c r="D131"/>
      <c r="E131"/>
      <c r="F131"/>
      <c r="G131"/>
      <c r="H131"/>
    </row>
    <row r="132" spans="1:8">
      <c r="A132" s="133"/>
      <c r="B132"/>
      <c r="C132"/>
      <c r="D132"/>
      <c r="E132"/>
      <c r="F132"/>
      <c r="G132"/>
      <c r="H132"/>
    </row>
    <row r="133" spans="1:8">
      <c r="A133" s="135" t="s">
        <v>278</v>
      </c>
      <c r="B133"/>
      <c r="C133"/>
      <c r="D133"/>
      <c r="E133"/>
      <c r="F133"/>
      <c r="G133"/>
      <c r="H133"/>
    </row>
    <row r="134" spans="1:8">
      <c r="A134" s="133" t="s">
        <v>264</v>
      </c>
      <c r="B134"/>
      <c r="C134"/>
      <c r="D134"/>
      <c r="E134"/>
      <c r="F134"/>
      <c r="G134"/>
      <c r="H134"/>
    </row>
    <row r="136" spans="1:8" ht="16.8">
      <c r="C136" s="134" t="s">
        <v>274</v>
      </c>
    </row>
    <row r="138" spans="1:8">
      <c r="C138" s="134" t="s">
        <v>277</v>
      </c>
    </row>
    <row r="139" spans="1:8">
      <c r="C139" s="134" t="s">
        <v>275</v>
      </c>
    </row>
    <row r="141" spans="1:8" ht="15.6">
      <c r="C141" s="132" t="s">
        <v>276</v>
      </c>
    </row>
    <row r="143" spans="1:8">
      <c r="A143" t="s">
        <v>286</v>
      </c>
    </row>
    <row r="144" spans="1:8">
      <c r="A144" s="133" t="s">
        <v>285</v>
      </c>
    </row>
    <row r="146" spans="2:3" ht="16.8">
      <c r="C146" s="137" t="s">
        <v>289</v>
      </c>
    </row>
    <row r="147" spans="2:3" ht="16.8">
      <c r="C147" s="137" t="s">
        <v>290</v>
      </c>
    </row>
    <row r="149" spans="2:3" ht="15.6">
      <c r="C149" s="99" t="s">
        <v>144</v>
      </c>
    </row>
    <row r="150" spans="2:3" ht="15.6">
      <c r="C150" s="70" t="s">
        <v>153</v>
      </c>
    </row>
    <row r="151" spans="2:3" ht="15.6">
      <c r="C151" s="99" t="s">
        <v>287</v>
      </c>
    </row>
    <row r="152" spans="2:3" ht="15.6">
      <c r="C152" s="99" t="s">
        <v>288</v>
      </c>
    </row>
    <row r="153" spans="2:3">
      <c r="C153" s="138" t="s">
        <v>295</v>
      </c>
    </row>
    <row r="154" spans="2:3">
      <c r="C154" s="138" t="s">
        <v>296</v>
      </c>
    </row>
    <row r="155" spans="2:3" ht="15.6">
      <c r="C155" s="138" t="s">
        <v>299</v>
      </c>
    </row>
    <row r="156" spans="2:3">
      <c r="C156" s="137" t="s">
        <v>291</v>
      </c>
    </row>
    <row r="158" spans="2:3">
      <c r="B158" s="138" t="s">
        <v>298</v>
      </c>
    </row>
    <row r="159" spans="2:3">
      <c r="B159" s="70" t="s">
        <v>297</v>
      </c>
    </row>
  </sheetData>
  <sheetProtection algorithmName="SHA-512" hashValue="WoRUae8TartE08/RClqfmBJZJWy2u5arP2SVvwOWganksW+BsgrnyroIJoKcrdymznmNVztEJxWpHFqMrOmr7Q==" saltValue="0Fuzq4Dj38Vl86CyWHsZ0g==" spinCount="100000" sheet="1" objects="1" scenarios="1"/>
  <pageMargins left="0.69930555555555596" right="0.69930555555555596" top="0.75" bottom="0.75" header="0.3" footer="0.3"/>
  <pageSetup scale="96" orientation="portrait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F25756FC81AF488F6C711D74014336" ma:contentTypeVersion="12" ma:contentTypeDescription="Create a new document." ma:contentTypeScope="" ma:versionID="a95a1d7eceb53a2be2496a2fcf90e701">
  <xsd:schema xmlns:xsd="http://www.w3.org/2001/XMLSchema" xmlns:xs="http://www.w3.org/2001/XMLSchema" xmlns:p="http://schemas.microsoft.com/office/2006/metadata/properties" xmlns:ns2="ea60b319-9d9b-4050-a2da-fb9886bc818d" xmlns:ns3="696b1dda-5637-4d41-9abe-79af3c04e813" targetNamespace="http://schemas.microsoft.com/office/2006/metadata/properties" ma:root="true" ma:fieldsID="b2e3702d1cba17928033a74f0f668a03" ns2:_="" ns3:_="">
    <xsd:import namespace="ea60b319-9d9b-4050-a2da-fb9886bc818d"/>
    <xsd:import namespace="696b1dda-5637-4d41-9abe-79af3c04e8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0b319-9d9b-4050-a2da-fb9886bc8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b1dda-5637-4d41-9abe-79af3c04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BE8E75-72D0-40E1-9A54-EF1E6AA9D4A8}"/>
</file>

<file path=customXml/itemProps2.xml><?xml version="1.0" encoding="utf-8"?>
<ds:datastoreItem xmlns:ds="http://schemas.openxmlformats.org/officeDocument/2006/customXml" ds:itemID="{A5F0DB08-1F18-4AF8-A819-F2D330FE8AA2}"/>
</file>

<file path=customXml/itemProps3.xml><?xml version="1.0" encoding="utf-8"?>
<ds:datastoreItem xmlns:ds="http://schemas.openxmlformats.org/officeDocument/2006/customXml" ds:itemID="{BC8C85FF-ACEC-4A8F-BE00-2F60D32BA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Doan DC</vt:lpstr>
      <vt:lpstr>SO DC</vt:lpstr>
      <vt:lpstr>Cap 1</vt:lpstr>
      <vt:lpstr>Cap 2</vt:lpstr>
      <vt:lpstr>Ind 1</vt:lpstr>
      <vt:lpstr>Ind 2</vt:lpstr>
      <vt:lpstr>MSO PV</vt:lpstr>
      <vt:lpstr>Ref</vt:lpstr>
      <vt:lpstr>'Cap 1'!Print_Area</vt:lpstr>
      <vt:lpstr>'Doan DC'!Print_Area</vt:lpstr>
      <vt:lpstr>'SO DC'!Print_Area</vt:lpstr>
    </vt:vector>
  </TitlesOfParts>
  <Company>LANL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Carr, Kyle D</cp:lastModifiedBy>
  <cp:lastPrinted>2016-08-12T18:46:00Z</cp:lastPrinted>
  <dcterms:created xsi:type="dcterms:W3CDTF">2016-07-27T16:43:00Z</dcterms:created>
  <dcterms:modified xsi:type="dcterms:W3CDTF">2022-01-06T16:46:13Z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  <property fmtid="{D5CDD505-2E9C-101B-9397-08002B2CF9AE}" pid="3" name="ContentTypeId">
    <vt:lpwstr>0x01010070F25756FC81AF488F6C711D74014336</vt:lpwstr>
  </property>
</Properties>
</file>